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24226"/>
  <mc:AlternateContent xmlns:mc="http://schemas.openxmlformats.org/markup-compatibility/2006">
    <mc:Choice Requires="x15">
      <x15ac:absPath xmlns:x15ac="http://schemas.microsoft.com/office/spreadsheetml/2010/11/ac" url="C:\Users\gondran\Documents\Natacha\Projets\RSE EMSE\Bilan carbone EMSE\BC ecole\2018\"/>
    </mc:Choice>
  </mc:AlternateContent>
  <bookViews>
    <workbookView xWindow="0" yWindow="0" windowWidth="19800" windowHeight="10755" firstSheet="1" activeTab="2"/>
    <workbookView visibility="hidden" xWindow="0" yWindow="-345" windowWidth="15360" windowHeight="7770" firstSheet="1" activeTab="1"/>
  </bookViews>
  <sheets>
    <sheet name="Données de consommation" sheetId="5" r:id="rId1"/>
    <sheet name="Emissions 2010_2014_2017" sheetId="1" r:id="rId2"/>
    <sheet name="Resultats_2010_2014_2017" sheetId="6" r:id="rId3"/>
    <sheet name="données climats" sheetId="9" r:id="rId4"/>
    <sheet name="données énergie" sheetId="11" r:id="rId5"/>
    <sheet name="Emissions evitées" sheetId="7" r:id="rId6"/>
    <sheet name="Top19" sheetId="8" r:id="rId7"/>
  </sheets>
  <externalReferences>
    <externalReference r:id="rId8"/>
  </externalReferences>
  <definedNames>
    <definedName name="_xlnm.Print_Area" localSheetId="0">'Données de consommation'!$A$1:$F$121</definedName>
    <definedName name="_xlnm.Print_Area" localSheetId="1">'Emissions 2010_2014_2017'!$A$1:$M$116</definedName>
  </definedNames>
  <calcPr calcId="162913" iterateDelta="1E-4"/>
</workbook>
</file>

<file path=xl/calcChain.xml><?xml version="1.0" encoding="utf-8"?>
<calcChain xmlns="http://schemas.openxmlformats.org/spreadsheetml/2006/main">
  <c r="L43" i="6" l="1"/>
  <c r="K43" i="6"/>
  <c r="K42" i="6"/>
  <c r="K41" i="6"/>
  <c r="K40" i="6"/>
  <c r="K37" i="6"/>
  <c r="K20" i="6"/>
  <c r="K12" i="6"/>
  <c r="K36" i="6"/>
  <c r="K35" i="6"/>
  <c r="K34" i="6"/>
  <c r="K33" i="6"/>
  <c r="K32" i="6"/>
  <c r="K31" i="6"/>
  <c r="K30" i="6"/>
  <c r="K29" i="6"/>
  <c r="K28" i="6"/>
  <c r="K27" i="6"/>
  <c r="K26" i="6"/>
  <c r="K25" i="6"/>
  <c r="K24" i="6"/>
  <c r="K23" i="6"/>
  <c r="K22" i="6"/>
  <c r="K21" i="6"/>
  <c r="K19" i="6"/>
  <c r="K18" i="6"/>
  <c r="K17" i="6"/>
  <c r="K16" i="6"/>
  <c r="K15" i="6"/>
  <c r="K14" i="6"/>
  <c r="K13" i="6"/>
  <c r="K11" i="6"/>
  <c r="K10" i="6"/>
  <c r="K9" i="6"/>
  <c r="K8" i="6"/>
  <c r="K7" i="6"/>
  <c r="K6" i="6"/>
  <c r="K5" i="6"/>
  <c r="E12" i="7" l="1"/>
  <c r="D12" i="7"/>
  <c r="E49" i="5"/>
  <c r="AB12" i="7"/>
  <c r="AD12" i="7" s="1"/>
  <c r="W12" i="7"/>
  <c r="T12" i="7"/>
  <c r="V12" i="7"/>
  <c r="N12" i="7"/>
  <c r="H49" i="5"/>
  <c r="H48" i="5"/>
  <c r="K49" i="5"/>
  <c r="K48" i="5"/>
  <c r="O12" i="7" l="1"/>
  <c r="V9" i="7" l="1"/>
  <c r="W9" i="7" s="1"/>
  <c r="V8" i="7"/>
  <c r="W8" i="7" s="1"/>
  <c r="N9" i="7"/>
  <c r="O9" i="7" s="1"/>
  <c r="N8" i="7"/>
  <c r="O8" i="7" s="1"/>
  <c r="D9" i="7"/>
  <c r="D8" i="7"/>
  <c r="F21" i="11"/>
  <c r="F22" i="11" s="1"/>
  <c r="E21" i="11"/>
  <c r="D21" i="11"/>
  <c r="D22" i="11" s="1"/>
  <c r="F19" i="11"/>
  <c r="F17" i="11"/>
  <c r="F18" i="11" s="1"/>
  <c r="D16" i="11"/>
  <c r="F14" i="11"/>
  <c r="F15" i="11" s="1"/>
  <c r="E14" i="11"/>
  <c r="E15" i="11"/>
  <c r="F13" i="11"/>
  <c r="F16" i="11" s="1"/>
  <c r="E13" i="11"/>
  <c r="E16" i="11" s="1"/>
  <c r="D13" i="11"/>
  <c r="D14" i="11" s="1"/>
  <c r="D15" i="11" s="1"/>
  <c r="E10" i="11"/>
  <c r="D10" i="11"/>
  <c r="F9" i="11"/>
  <c r="F11" i="11" s="1"/>
  <c r="E9" i="11"/>
  <c r="E11" i="11" s="1"/>
  <c r="D9" i="11"/>
  <c r="C21" i="11"/>
  <c r="C21" i="9"/>
  <c r="F10" i="11" l="1"/>
  <c r="F12" i="11" s="1"/>
  <c r="E22" i="11"/>
  <c r="E23" i="11" s="1"/>
  <c r="D23" i="11"/>
  <c r="F23" i="11"/>
  <c r="D12" i="11"/>
  <c r="E12" i="11"/>
  <c r="D11" i="11"/>
  <c r="E20" i="8" l="1"/>
  <c r="E17" i="8"/>
  <c r="E16" i="8"/>
  <c r="E7" i="8"/>
  <c r="E9" i="8"/>
  <c r="E3" i="8"/>
  <c r="D17" i="8"/>
  <c r="D9" i="8"/>
  <c r="D3" i="8"/>
  <c r="K57" i="5"/>
  <c r="K56" i="5"/>
  <c r="K55" i="5"/>
  <c r="K54" i="5"/>
  <c r="W11" i="7" l="1"/>
  <c r="AB11" i="7" s="1"/>
  <c r="V11" i="7"/>
  <c r="N11" i="7"/>
  <c r="O11" i="7" s="1"/>
  <c r="T11" i="7" s="1"/>
  <c r="M11" i="7"/>
  <c r="J12" i="7"/>
  <c r="W10" i="7"/>
  <c r="AB10" i="7" s="1"/>
  <c r="V10" i="7"/>
  <c r="O10" i="7"/>
  <c r="T10" i="7" s="1"/>
  <c r="N10" i="7"/>
  <c r="M10" i="7"/>
  <c r="E10" i="7"/>
  <c r="J10" i="7" s="1"/>
  <c r="D10" i="7"/>
  <c r="C10" i="7"/>
  <c r="AB9" i="7"/>
  <c r="T9" i="7"/>
  <c r="M9" i="7"/>
  <c r="AB8" i="7"/>
  <c r="T8" i="7"/>
  <c r="M8" i="7"/>
  <c r="E7" i="7"/>
  <c r="J7" i="7" s="1"/>
  <c r="C7" i="7"/>
  <c r="AA4" i="7"/>
  <c r="Z4" i="7"/>
  <c r="X4" i="7"/>
  <c r="S4" i="7"/>
  <c r="R4" i="7"/>
  <c r="P4" i="7"/>
  <c r="I4" i="7"/>
  <c r="H4" i="7"/>
  <c r="F4" i="7"/>
  <c r="T7" i="7" l="1"/>
  <c r="T13" i="7" s="1"/>
  <c r="AD9" i="7"/>
  <c r="AC12" i="7"/>
  <c r="AD8" i="7"/>
  <c r="AB7" i="7"/>
  <c r="AD10" i="7"/>
  <c r="AD11" i="7"/>
  <c r="AC11" i="7"/>
  <c r="AC10" i="7"/>
  <c r="G71" i="1"/>
  <c r="R71" i="1"/>
  <c r="W71" i="1" s="1"/>
  <c r="Y71" i="1" s="1"/>
  <c r="AC71" i="1"/>
  <c r="AH71" i="1"/>
  <c r="AC56" i="1"/>
  <c r="AH56" i="1" s="1"/>
  <c r="AC55" i="1"/>
  <c r="AH55" i="1" s="1"/>
  <c r="AC54" i="1"/>
  <c r="AH54" i="1" s="1"/>
  <c r="AC53" i="1"/>
  <c r="AH53" i="1" s="1"/>
  <c r="R56" i="1"/>
  <c r="R55" i="1"/>
  <c r="W55" i="1" s="1"/>
  <c r="Y55" i="1" s="1"/>
  <c r="R54" i="1"/>
  <c r="W54" i="1" s="1"/>
  <c r="Y54" i="1" s="1"/>
  <c r="R53" i="1"/>
  <c r="W53" i="1" s="1"/>
  <c r="W56" i="1"/>
  <c r="Y56" i="1" s="1"/>
  <c r="R58" i="1"/>
  <c r="G53" i="1"/>
  <c r="G56" i="1"/>
  <c r="G55" i="1"/>
  <c r="G54" i="1"/>
  <c r="AB71" i="1"/>
  <c r="Q71" i="1"/>
  <c r="P71" i="1"/>
  <c r="F71" i="1"/>
  <c r="E71" i="1"/>
  <c r="G57" i="1"/>
  <c r="AB56" i="1"/>
  <c r="Q56" i="1"/>
  <c r="P56" i="1"/>
  <c r="F56" i="1"/>
  <c r="E56" i="1"/>
  <c r="AB55" i="1"/>
  <c r="Q55" i="1"/>
  <c r="P55" i="1"/>
  <c r="F55" i="1"/>
  <c r="L55" i="1" s="1"/>
  <c r="M55" i="1" s="1"/>
  <c r="E55" i="1"/>
  <c r="AB54" i="1"/>
  <c r="Q54" i="1"/>
  <c r="P54" i="1"/>
  <c r="L54" i="1"/>
  <c r="M54" i="1" s="1"/>
  <c r="F54" i="1"/>
  <c r="E54" i="1"/>
  <c r="AB53" i="1"/>
  <c r="Q53" i="1"/>
  <c r="P53" i="1"/>
  <c r="L53" i="1"/>
  <c r="F53" i="1"/>
  <c r="E53" i="1"/>
  <c r="Y53" i="1" l="1"/>
  <c r="F25" i="6"/>
  <c r="M53" i="1"/>
  <c r="L56" i="1"/>
  <c r="M56" i="1" s="1"/>
  <c r="H25" i="6"/>
  <c r="AD7" i="7"/>
  <c r="AB13" i="7"/>
  <c r="AC7" i="7"/>
  <c r="L71" i="1"/>
  <c r="M71" i="1" s="1"/>
  <c r="AL71" i="1"/>
  <c r="AL54" i="1"/>
  <c r="AJ71" i="1"/>
  <c r="AL53" i="1"/>
  <c r="AL55" i="1"/>
  <c r="AL56" i="1"/>
  <c r="AJ53" i="1"/>
  <c r="AJ54" i="1"/>
  <c r="AJ55" i="1"/>
  <c r="AJ56" i="1"/>
  <c r="AK53" i="1"/>
  <c r="AK54" i="1"/>
  <c r="AK55" i="1"/>
  <c r="AK56" i="1"/>
  <c r="E72" i="5"/>
  <c r="H57" i="5"/>
  <c r="H56" i="5"/>
  <c r="H55" i="5"/>
  <c r="H54" i="5"/>
  <c r="E57" i="5"/>
  <c r="E56" i="5"/>
  <c r="E55" i="5"/>
  <c r="E54" i="5"/>
  <c r="I25" i="6" l="1"/>
  <c r="L25" i="6"/>
  <c r="D25" i="6"/>
  <c r="G25" i="6"/>
  <c r="E2" i="8"/>
  <c r="F2" i="8"/>
  <c r="AD13" i="7"/>
  <c r="AC13" i="7"/>
  <c r="AK71" i="1"/>
  <c r="AB99" i="1"/>
  <c r="Q99" i="1"/>
  <c r="F99" i="1"/>
  <c r="E25" i="6" l="1"/>
  <c r="D2" i="8"/>
  <c r="K100" i="5"/>
  <c r="K99" i="5"/>
  <c r="K41" i="5" l="1"/>
  <c r="Q58" i="1" l="1"/>
  <c r="AB70" i="1" l="1"/>
  <c r="AC70" i="1" s="1"/>
  <c r="AH70" i="1" s="1"/>
  <c r="AJ70" i="1" s="1"/>
  <c r="AB69" i="1"/>
  <c r="AC69" i="1" s="1"/>
  <c r="AH69" i="1" s="1"/>
  <c r="AJ69" i="1" s="1"/>
  <c r="AB68" i="1"/>
  <c r="AC68" i="1" s="1"/>
  <c r="AH68" i="1" s="1"/>
  <c r="AJ68" i="1" s="1"/>
  <c r="AB67" i="1"/>
  <c r="AC67" i="1" s="1"/>
  <c r="AH67" i="1" s="1"/>
  <c r="AJ67" i="1" s="1"/>
  <c r="AB66" i="1"/>
  <c r="AC66" i="1" s="1"/>
  <c r="AH66" i="1" s="1"/>
  <c r="AJ66" i="1" s="1"/>
  <c r="AB65" i="1"/>
  <c r="AC65" i="1" s="1"/>
  <c r="AH65" i="1" s="1"/>
  <c r="AJ65" i="1" s="1"/>
  <c r="AB64" i="1"/>
  <c r="AC64" i="1" s="1"/>
  <c r="AH64" i="1" s="1"/>
  <c r="AJ64" i="1" s="1"/>
  <c r="AB63" i="1"/>
  <c r="AC63" i="1" s="1"/>
  <c r="AH63" i="1" s="1"/>
  <c r="AJ63" i="1" s="1"/>
  <c r="AB62" i="1"/>
  <c r="AC62" i="1" s="1"/>
  <c r="AH62" i="1" s="1"/>
  <c r="AJ62" i="1" s="1"/>
  <c r="AB61" i="1"/>
  <c r="AC61" i="1" s="1"/>
  <c r="AH61" i="1" s="1"/>
  <c r="AJ61" i="1" s="1"/>
  <c r="AB60" i="1"/>
  <c r="AC60" i="1" s="1"/>
  <c r="AH60" i="1" s="1"/>
  <c r="AJ60" i="1" s="1"/>
  <c r="AB59" i="1"/>
  <c r="AC59" i="1" s="1"/>
  <c r="AH59" i="1" s="1"/>
  <c r="Q70" i="1"/>
  <c r="Q69" i="1"/>
  <c r="Q68" i="1"/>
  <c r="Q67" i="1"/>
  <c r="Q66" i="1"/>
  <c r="Q65" i="1"/>
  <c r="Q64" i="1"/>
  <c r="Q63" i="1"/>
  <c r="Q62" i="1"/>
  <c r="Q61" i="1"/>
  <c r="Q60" i="1"/>
  <c r="Q59" i="1"/>
  <c r="F70" i="1"/>
  <c r="F69" i="1"/>
  <c r="F68" i="1"/>
  <c r="F67" i="1"/>
  <c r="F66" i="1"/>
  <c r="F65" i="1"/>
  <c r="F64" i="1"/>
  <c r="F63" i="1"/>
  <c r="F62" i="1"/>
  <c r="F61" i="1"/>
  <c r="F60" i="1"/>
  <c r="F59" i="1"/>
  <c r="AH58" i="1" l="1"/>
  <c r="H27" i="6" s="1"/>
  <c r="AJ59" i="1"/>
  <c r="AJ58" i="1" s="1"/>
  <c r="I27" i="6" s="1"/>
  <c r="W58" i="1"/>
  <c r="Y58" i="1" s="1"/>
  <c r="P58" i="1"/>
  <c r="F58" i="1"/>
  <c r="G58" i="1" s="1"/>
  <c r="D27" i="6" s="1"/>
  <c r="D7" i="8" s="1"/>
  <c r="E58" i="1"/>
  <c r="F7" i="8" l="1"/>
  <c r="L27" i="6"/>
  <c r="L58" i="1"/>
  <c r="M58" i="1" s="1"/>
  <c r="E27" i="6" s="1"/>
  <c r="AL58" i="1"/>
  <c r="K43" i="5"/>
  <c r="K42" i="5"/>
  <c r="AK58" i="1" l="1"/>
  <c r="AB43" i="1"/>
  <c r="AC43" i="1" s="1"/>
  <c r="AH43" i="1" s="1"/>
  <c r="AJ43" i="1" s="1"/>
  <c r="AB42" i="1"/>
  <c r="AC42" i="1" s="1"/>
  <c r="AH42" i="1" s="1"/>
  <c r="AJ42" i="1" s="1"/>
  <c r="AB41" i="1"/>
  <c r="AC41" i="1" s="1"/>
  <c r="AH41" i="1" s="1"/>
  <c r="Q43" i="1"/>
  <c r="Q42" i="1"/>
  <c r="Q41" i="1"/>
  <c r="F42" i="1"/>
  <c r="F41" i="1"/>
  <c r="F43" i="1"/>
  <c r="AJ41" i="1" l="1"/>
  <c r="AB28" i="1"/>
  <c r="Q28" i="1"/>
  <c r="K36" i="5" l="1"/>
  <c r="K28" i="5"/>
  <c r="K26" i="5"/>
  <c r="K27" i="5" l="1"/>
  <c r="K35" i="5" s="1"/>
  <c r="AC28" i="1"/>
  <c r="AH28" i="1" s="1"/>
  <c r="AJ28" i="1" s="1"/>
  <c r="U21" i="1"/>
  <c r="W21" i="1" s="1"/>
  <c r="K101" i="5" l="1"/>
  <c r="K112" i="5" l="1"/>
  <c r="K110" i="5"/>
  <c r="K109" i="5"/>
  <c r="K107" i="5"/>
  <c r="K104" i="5"/>
  <c r="K103" i="5"/>
  <c r="K102" i="5"/>
  <c r="K97" i="5"/>
  <c r="K96" i="5"/>
  <c r="K94" i="5"/>
  <c r="K93" i="5"/>
  <c r="K88" i="5"/>
  <c r="K87" i="5"/>
  <c r="K86" i="5"/>
  <c r="AB112" i="1" l="1"/>
  <c r="AB111" i="1"/>
  <c r="AB110" i="1"/>
  <c r="AB109" i="1"/>
  <c r="AB108" i="1"/>
  <c r="AB107" i="1"/>
  <c r="AB106" i="1"/>
  <c r="AB105" i="1"/>
  <c r="AB104" i="1"/>
  <c r="AB103" i="1"/>
  <c r="AB102" i="1"/>
  <c r="AB101" i="1"/>
  <c r="AB100" i="1"/>
  <c r="AC100" i="1" s="1"/>
  <c r="AB98" i="1"/>
  <c r="AB96" i="1"/>
  <c r="AB95" i="1"/>
  <c r="AB94" i="1"/>
  <c r="AB93" i="1"/>
  <c r="AB92" i="1"/>
  <c r="AB91" i="1"/>
  <c r="AB90" i="1"/>
  <c r="AB89" i="1"/>
  <c r="AB88" i="1"/>
  <c r="AB87" i="1"/>
  <c r="AB86" i="1"/>
  <c r="AB85" i="1"/>
  <c r="AB83" i="1"/>
  <c r="AB82" i="1"/>
  <c r="AB81" i="1"/>
  <c r="AB80" i="1"/>
  <c r="AB79" i="1"/>
  <c r="AB78" i="1"/>
  <c r="AB77" i="1"/>
  <c r="AB76" i="1"/>
  <c r="AB75" i="1"/>
  <c r="AB74" i="1"/>
  <c r="AB73" i="1"/>
  <c r="AB72" i="1"/>
  <c r="Q112" i="1"/>
  <c r="Q111" i="1"/>
  <c r="Q110" i="1"/>
  <c r="Q109" i="1"/>
  <c r="Q108" i="1"/>
  <c r="Q107" i="1"/>
  <c r="Q106" i="1"/>
  <c r="Q105" i="1"/>
  <c r="Q104" i="1"/>
  <c r="Q103" i="1"/>
  <c r="Q102" i="1"/>
  <c r="Q101" i="1"/>
  <c r="Q100" i="1"/>
  <c r="Q98" i="1"/>
  <c r="Q97" i="1"/>
  <c r="Q96" i="1"/>
  <c r="Q95" i="1"/>
  <c r="Q94" i="1"/>
  <c r="Q93" i="1"/>
  <c r="Q92" i="1"/>
  <c r="Q91" i="1"/>
  <c r="Q90" i="1"/>
  <c r="Q89" i="1"/>
  <c r="Q88" i="1"/>
  <c r="Q87" i="1"/>
  <c r="Q86" i="1"/>
  <c r="Q85" i="1"/>
  <c r="Q84" i="1"/>
  <c r="Q83" i="1"/>
  <c r="Q82" i="1"/>
  <c r="Q81" i="1"/>
  <c r="Q80" i="1"/>
  <c r="Q79" i="1"/>
  <c r="Q78" i="1"/>
  <c r="Q77" i="1"/>
  <c r="Q76" i="1"/>
  <c r="Q75" i="1"/>
  <c r="Q74" i="1"/>
  <c r="Q73" i="1"/>
  <c r="Q72" i="1"/>
  <c r="F96" i="1"/>
  <c r="F95" i="1"/>
  <c r="F94" i="1"/>
  <c r="F93" i="1"/>
  <c r="F92" i="1"/>
  <c r="F91" i="1"/>
  <c r="F90" i="1"/>
  <c r="F89" i="1"/>
  <c r="F88" i="1"/>
  <c r="F87" i="1"/>
  <c r="F86" i="1"/>
  <c r="F85" i="1"/>
  <c r="F98" i="1"/>
  <c r="AC23" i="1" l="1"/>
  <c r="AD22" i="1"/>
  <c r="AF21" i="1"/>
  <c r="AG20" i="1"/>
  <c r="AF16" i="1"/>
  <c r="AC18" i="1"/>
  <c r="AC17" i="1"/>
  <c r="AD17" i="1"/>
  <c r="V15" i="1"/>
  <c r="W15" i="1" s="1"/>
  <c r="AG15" i="1"/>
  <c r="AC112" i="1"/>
  <c r="AH112" i="1" l="1"/>
  <c r="F112" i="1"/>
  <c r="F57" i="1"/>
  <c r="AB57" i="1"/>
  <c r="Q57" i="1"/>
  <c r="R57" i="1" s="1"/>
  <c r="AL112" i="1" l="1"/>
  <c r="AK112" i="1"/>
  <c r="AJ112" i="1"/>
  <c r="AC40" i="1"/>
  <c r="AH40" i="1" s="1"/>
  <c r="AB40" i="1"/>
  <c r="Q40" i="1"/>
  <c r="F40" i="1"/>
  <c r="AJ40" i="1" l="1"/>
  <c r="I30" i="6" s="1"/>
  <c r="H30" i="6"/>
  <c r="F3" i="8" l="1"/>
  <c r="L30" i="6"/>
  <c r="AC98" i="1"/>
  <c r="AH98" i="1" s="1"/>
  <c r="AB24" i="1"/>
  <c r="AB19" i="1"/>
  <c r="AB14" i="1"/>
  <c r="AC14" i="1" s="1"/>
  <c r="AB13" i="1"/>
  <c r="AB12" i="1"/>
  <c r="AB11" i="1"/>
  <c r="AB10" i="1"/>
  <c r="AB9" i="1"/>
  <c r="AB8" i="1"/>
  <c r="Q11" i="1"/>
  <c r="Q10" i="1"/>
  <c r="Q9" i="1"/>
  <c r="Q8" i="1"/>
  <c r="Q12" i="1"/>
  <c r="Q13" i="1"/>
  <c r="Q14" i="1"/>
  <c r="Q19" i="1"/>
  <c r="Q24" i="1"/>
  <c r="G18" i="1"/>
  <c r="G23" i="1"/>
  <c r="F24" i="1"/>
  <c r="G24" i="1" s="1"/>
  <c r="F19" i="1"/>
  <c r="K15" i="1"/>
  <c r="L15" i="1" s="1"/>
  <c r="M15" i="1" s="1"/>
  <c r="H17" i="1"/>
  <c r="G17" i="1"/>
  <c r="F14" i="1"/>
  <c r="F13" i="1"/>
  <c r="G22" i="1"/>
  <c r="F97" i="1"/>
  <c r="M17" i="1" l="1"/>
  <c r="L17" i="1"/>
  <c r="AJ17" i="1"/>
  <c r="G19" i="1" l="1"/>
  <c r="AC85" i="1" l="1"/>
  <c r="AH85" i="1" s="1"/>
  <c r="AJ85" i="1" s="1"/>
  <c r="AC86" i="1"/>
  <c r="AH86" i="1" s="1"/>
  <c r="AJ86" i="1" s="1"/>
  <c r="AC87" i="1"/>
  <c r="AH87" i="1" s="1"/>
  <c r="AJ87" i="1" s="1"/>
  <c r="AC88" i="1"/>
  <c r="AH88" i="1" s="1"/>
  <c r="AJ88" i="1" s="1"/>
  <c r="AC89" i="1"/>
  <c r="AH89" i="1" s="1"/>
  <c r="AJ89" i="1" s="1"/>
  <c r="AC90" i="1"/>
  <c r="AH90" i="1" s="1"/>
  <c r="AJ90" i="1" s="1"/>
  <c r="AC91" i="1"/>
  <c r="AH91" i="1" s="1"/>
  <c r="AJ91" i="1" s="1"/>
  <c r="AC92" i="1"/>
  <c r="AH92" i="1" s="1"/>
  <c r="AJ92" i="1" s="1"/>
  <c r="AC93" i="1"/>
  <c r="AH93" i="1" s="1"/>
  <c r="AJ93" i="1" s="1"/>
  <c r="AC94" i="1"/>
  <c r="AH94" i="1" s="1"/>
  <c r="AJ94" i="1" s="1"/>
  <c r="AC95" i="1"/>
  <c r="AH95" i="1" s="1"/>
  <c r="AJ95" i="1" s="1"/>
  <c r="AC96" i="1"/>
  <c r="AH96" i="1" s="1"/>
  <c r="AJ96" i="1" s="1"/>
  <c r="AC83" i="1"/>
  <c r="AJ84" i="1" l="1"/>
  <c r="AH84" i="1"/>
  <c r="AC12" i="1" l="1"/>
  <c r="F12" i="1"/>
  <c r="R12" i="1"/>
  <c r="P97" i="1"/>
  <c r="R97" i="1" s="1"/>
  <c r="E97" i="1"/>
  <c r="G97" i="1" s="1"/>
  <c r="L97" i="1" s="1"/>
  <c r="M97" i="1" s="1"/>
  <c r="W97" i="1" l="1"/>
  <c r="Y97" i="1" l="1"/>
  <c r="D18" i="6"/>
  <c r="D16" i="8" s="1"/>
  <c r="AC99" i="1" l="1"/>
  <c r="AH99" i="1" s="1"/>
  <c r="AC102" i="1"/>
  <c r="AH102" i="1" s="1"/>
  <c r="AJ102" i="1" s="1"/>
  <c r="AC103" i="1"/>
  <c r="AH103" i="1" s="1"/>
  <c r="AJ103" i="1" s="1"/>
  <c r="AC105" i="1"/>
  <c r="AH105" i="1" s="1"/>
  <c r="AJ105" i="1" s="1"/>
  <c r="AC107" i="1"/>
  <c r="AH107" i="1" s="1"/>
  <c r="AJ107" i="1" s="1"/>
  <c r="F111" i="1"/>
  <c r="F110" i="1"/>
  <c r="F109" i="1"/>
  <c r="F108" i="1"/>
  <c r="F107" i="1"/>
  <c r="F106" i="1"/>
  <c r="F105" i="1"/>
  <c r="F104" i="1"/>
  <c r="F103" i="1"/>
  <c r="F102" i="1"/>
  <c r="F101" i="1"/>
  <c r="F100" i="1"/>
  <c r="F83" i="1"/>
  <c r="F82" i="1"/>
  <c r="F81" i="1"/>
  <c r="F80" i="1"/>
  <c r="F79" i="1"/>
  <c r="F78" i="1"/>
  <c r="F77" i="1"/>
  <c r="F76" i="1"/>
  <c r="F75" i="1"/>
  <c r="F74" i="1"/>
  <c r="F73" i="1"/>
  <c r="F72" i="1"/>
  <c r="AH83" i="1"/>
  <c r="AC82" i="1"/>
  <c r="AH82" i="1" s="1"/>
  <c r="AC81" i="1"/>
  <c r="AH81" i="1" s="1"/>
  <c r="AC80" i="1"/>
  <c r="AH80" i="1" s="1"/>
  <c r="AC79" i="1"/>
  <c r="AH79" i="1" s="1"/>
  <c r="AC78" i="1"/>
  <c r="AH78" i="1" s="1"/>
  <c r="AC77" i="1"/>
  <c r="AH77" i="1" s="1"/>
  <c r="AC76" i="1"/>
  <c r="AH76" i="1" s="1"/>
  <c r="AC75" i="1"/>
  <c r="AH75" i="1" s="1"/>
  <c r="AC74" i="1"/>
  <c r="AH74" i="1" s="1"/>
  <c r="AC73" i="1"/>
  <c r="AH73" i="1" s="1"/>
  <c r="AC72" i="1"/>
  <c r="AH72" i="1" s="1"/>
  <c r="AC110" i="1"/>
  <c r="AH110" i="1" s="1"/>
  <c r="AJ110" i="1" s="1"/>
  <c r="AC106" i="1"/>
  <c r="AH106" i="1" s="1"/>
  <c r="AJ106" i="1" s="1"/>
  <c r="AC104" i="1"/>
  <c r="AH104" i="1" s="1"/>
  <c r="AJ104" i="1" s="1"/>
  <c r="AC101" i="1"/>
  <c r="AH101" i="1" s="1"/>
  <c r="AJ101" i="1" s="1"/>
  <c r="AH100" i="1"/>
  <c r="AJ100" i="1" s="1"/>
  <c r="AC108" i="1"/>
  <c r="AH108" i="1" s="1"/>
  <c r="AJ108" i="1" s="1"/>
  <c r="AC109" i="1"/>
  <c r="AH109" i="1" s="1"/>
  <c r="AJ109" i="1" s="1"/>
  <c r="AC111" i="1"/>
  <c r="AH111" i="1" s="1"/>
  <c r="AJ111" i="1" s="1"/>
  <c r="H29" i="6" l="1"/>
  <c r="AG124" i="1"/>
  <c r="AJ99" i="1"/>
  <c r="AH97" i="1"/>
  <c r="H28" i="6" s="1"/>
  <c r="AJ75" i="1"/>
  <c r="AJ79" i="1"/>
  <c r="AJ83" i="1"/>
  <c r="AJ78" i="1"/>
  <c r="AJ72" i="1"/>
  <c r="AJ76" i="1"/>
  <c r="AJ80" i="1"/>
  <c r="AJ74" i="1"/>
  <c r="AJ82" i="1"/>
  <c r="AJ73" i="1"/>
  <c r="AJ77" i="1"/>
  <c r="AJ81" i="1"/>
  <c r="AJ98" i="1"/>
  <c r="AJ97" i="1" s="1"/>
  <c r="E84" i="1"/>
  <c r="F84" i="1"/>
  <c r="P84" i="1"/>
  <c r="F6" i="8" l="1"/>
  <c r="F9" i="8"/>
  <c r="L29" i="6"/>
  <c r="H44" i="6"/>
  <c r="AL97" i="1"/>
  <c r="AK97" i="1"/>
  <c r="R84" i="1"/>
  <c r="W84" i="1" s="1"/>
  <c r="AL84" i="1" s="1"/>
  <c r="I28" i="6"/>
  <c r="AB34" i="1"/>
  <c r="AC34" i="1" s="1"/>
  <c r="AH34" i="1" s="1"/>
  <c r="F17" i="9" s="1"/>
  <c r="Q34" i="1"/>
  <c r="F34" i="1"/>
  <c r="F19" i="9" l="1"/>
  <c r="F18" i="9"/>
  <c r="I44" i="6"/>
  <c r="Y84" i="1"/>
  <c r="G28" i="6" s="1"/>
  <c r="F28" i="6"/>
  <c r="H19" i="6"/>
  <c r="AJ34" i="1"/>
  <c r="I19" i="6" s="1"/>
  <c r="AK34" i="1"/>
  <c r="AB51" i="1"/>
  <c r="AB50" i="1"/>
  <c r="AB48" i="1"/>
  <c r="AB47" i="1"/>
  <c r="AB46" i="1"/>
  <c r="AB45" i="1"/>
  <c r="AB38" i="1"/>
  <c r="AB37" i="1"/>
  <c r="AB36" i="1"/>
  <c r="AB33" i="1"/>
  <c r="AC33" i="1" s="1"/>
  <c r="AB32" i="1"/>
  <c r="AB31" i="1"/>
  <c r="AB30" i="1"/>
  <c r="AB29" i="1"/>
  <c r="AB27" i="1"/>
  <c r="AC8" i="1"/>
  <c r="R24" i="1"/>
  <c r="R23" i="1"/>
  <c r="R22" i="1"/>
  <c r="R18" i="1"/>
  <c r="R17" i="1"/>
  <c r="Q51" i="1"/>
  <c r="R51" i="1" s="1"/>
  <c r="Q50" i="1"/>
  <c r="R50" i="1" s="1"/>
  <c r="Q48" i="1"/>
  <c r="R48" i="1" s="1"/>
  <c r="W48" i="1" s="1"/>
  <c r="Y48" i="1" s="1"/>
  <c r="Q47" i="1"/>
  <c r="R47" i="1" s="1"/>
  <c r="Q46" i="1"/>
  <c r="R46" i="1" s="1"/>
  <c r="Q45" i="1"/>
  <c r="R45" i="1" s="1"/>
  <c r="Q38" i="1"/>
  <c r="Q37" i="1"/>
  <c r="Q36" i="1"/>
  <c r="Q33" i="1"/>
  <c r="Q32" i="1"/>
  <c r="R32" i="1" s="1"/>
  <c r="Q31" i="1"/>
  <c r="R31" i="1" s="1"/>
  <c r="Q30" i="1"/>
  <c r="R30" i="1" s="1"/>
  <c r="Q29" i="1"/>
  <c r="R29" i="1" s="1"/>
  <c r="Q27" i="1"/>
  <c r="R27" i="1" s="1"/>
  <c r="R19" i="1"/>
  <c r="R14" i="1"/>
  <c r="R13" i="1"/>
  <c r="R11" i="1"/>
  <c r="R10" i="1"/>
  <c r="R9" i="1"/>
  <c r="R8" i="1"/>
  <c r="F51" i="1"/>
  <c r="F50" i="1"/>
  <c r="F46" i="1"/>
  <c r="F45" i="1"/>
  <c r="F38" i="1"/>
  <c r="F11" i="1"/>
  <c r="F37" i="1"/>
  <c r="F10" i="1"/>
  <c r="F36" i="1"/>
  <c r="F9" i="1"/>
  <c r="F8" i="1"/>
  <c r="F17" i="8" l="1"/>
  <c r="F44" i="6"/>
  <c r="G44" i="6" s="1"/>
  <c r="E6" i="8"/>
  <c r="L28" i="6"/>
  <c r="G8" i="1"/>
  <c r="L8" i="1" s="1"/>
  <c r="M8" i="1" s="1"/>
  <c r="E5" i="6" s="1"/>
  <c r="W45" i="1"/>
  <c r="W44" i="1"/>
  <c r="F33" i="1"/>
  <c r="F32" i="1"/>
  <c r="F31" i="1"/>
  <c r="F29" i="1"/>
  <c r="F27" i="1"/>
  <c r="G27" i="1" s="1"/>
  <c r="F30" i="1"/>
  <c r="K38" i="5" l="1"/>
  <c r="K37" i="5"/>
  <c r="E37" i="5"/>
  <c r="H36" i="5"/>
  <c r="R36" i="1" s="1"/>
  <c r="K6" i="5" l="1"/>
  <c r="AC27" i="1" l="1"/>
  <c r="AC31" i="1"/>
  <c r="AH31" i="1" s="1"/>
  <c r="AC32" i="1"/>
  <c r="AH32" i="1" s="1"/>
  <c r="AH33" i="1"/>
  <c r="AC29" i="1"/>
  <c r="AH29" i="1" s="1"/>
  <c r="AC24" i="1"/>
  <c r="AC22" i="1"/>
  <c r="P33" i="1"/>
  <c r="R35" i="1" s="1"/>
  <c r="E33" i="1"/>
  <c r="E31" i="1"/>
  <c r="AC19" i="1"/>
  <c r="AC30" i="1"/>
  <c r="AH30" i="1" s="1"/>
  <c r="AC36" i="1"/>
  <c r="AH36" i="1" s="1"/>
  <c r="AC37" i="1"/>
  <c r="AH37" i="1" s="1"/>
  <c r="H22" i="6" s="1"/>
  <c r="AC38" i="1"/>
  <c r="AH38" i="1" s="1"/>
  <c r="AC45" i="1"/>
  <c r="AH45" i="1" s="1"/>
  <c r="AC46" i="1"/>
  <c r="AH46" i="1" s="1"/>
  <c r="AC47" i="1"/>
  <c r="AH47" i="1" s="1"/>
  <c r="AC48" i="1"/>
  <c r="AH48" i="1" s="1"/>
  <c r="AL48" i="1" s="1"/>
  <c r="AC50" i="1"/>
  <c r="AC51" i="1"/>
  <c r="AH51" i="1" s="1"/>
  <c r="AC57" i="1"/>
  <c r="AH57" i="1" s="1"/>
  <c r="P8" i="1"/>
  <c r="P9" i="1"/>
  <c r="P10" i="1"/>
  <c r="P11" i="1"/>
  <c r="P12" i="1"/>
  <c r="P13" i="1"/>
  <c r="P14" i="1"/>
  <c r="P19" i="1"/>
  <c r="P27" i="1"/>
  <c r="P29" i="1"/>
  <c r="P30" i="1"/>
  <c r="P31" i="1"/>
  <c r="P32" i="1"/>
  <c r="P36" i="1"/>
  <c r="P37" i="1"/>
  <c r="P38" i="1"/>
  <c r="P45" i="1"/>
  <c r="F13" i="9" l="1"/>
  <c r="F16" i="9" s="1"/>
  <c r="F14" i="9"/>
  <c r="F15" i="9" s="1"/>
  <c r="H23" i="6"/>
  <c r="H26" i="6"/>
  <c r="AJ57" i="1"/>
  <c r="H21" i="6"/>
  <c r="AJ47" i="1"/>
  <c r="AK33" i="1"/>
  <c r="AJ33" i="1"/>
  <c r="I18" i="6" s="1"/>
  <c r="H18" i="6"/>
  <c r="AJ51" i="1"/>
  <c r="AJ36" i="1"/>
  <c r="I21" i="6" s="1"/>
  <c r="H15" i="6"/>
  <c r="AJ30" i="1"/>
  <c r="I15" i="6" s="1"/>
  <c r="H16" i="6"/>
  <c r="AJ31" i="1"/>
  <c r="I16" i="6" s="1"/>
  <c r="AJ37" i="1"/>
  <c r="I22" i="6" s="1"/>
  <c r="H17" i="6"/>
  <c r="AJ32" i="1"/>
  <c r="I17" i="6" s="1"/>
  <c r="AJ38" i="1"/>
  <c r="I23" i="6" s="1"/>
  <c r="H14" i="6"/>
  <c r="AJ29" i="1"/>
  <c r="I14" i="6" s="1"/>
  <c r="AH44" i="1"/>
  <c r="AH27" i="1"/>
  <c r="H13" i="6" s="1"/>
  <c r="AC35" i="1"/>
  <c r="AH49" i="1"/>
  <c r="AH50" i="1"/>
  <c r="AL33" i="1"/>
  <c r="G32" i="1"/>
  <c r="F11" i="8" l="1"/>
  <c r="F10" i="8"/>
  <c r="F14" i="8"/>
  <c r="L26" i="6"/>
  <c r="F20" i="8"/>
  <c r="F8" i="8"/>
  <c r="L18" i="6"/>
  <c r="F16" i="8"/>
  <c r="F12" i="8"/>
  <c r="H24" i="6"/>
  <c r="I26" i="6"/>
  <c r="AJ50" i="1"/>
  <c r="AJ49" i="1" s="1"/>
  <c r="H20" i="6"/>
  <c r="AJ27" i="1"/>
  <c r="I13" i="6" s="1"/>
  <c r="AJ44" i="1"/>
  <c r="AL44" i="1"/>
  <c r="AC13" i="1"/>
  <c r="AC11" i="1"/>
  <c r="AC10" i="1"/>
  <c r="AC9" i="1"/>
  <c r="H41" i="6" l="1"/>
  <c r="H37" i="6"/>
  <c r="N24" i="6" s="1"/>
  <c r="F18" i="8"/>
  <c r="I37" i="6"/>
  <c r="AH115" i="1"/>
  <c r="AH114" i="1"/>
  <c r="AH113" i="1"/>
  <c r="AH117" i="1" s="1"/>
  <c r="AH25" i="1"/>
  <c r="AH24" i="1"/>
  <c r="AH23" i="1"/>
  <c r="AJ22" i="1"/>
  <c r="AH21" i="1"/>
  <c r="AJ21" i="1" s="1"/>
  <c r="AH20" i="1"/>
  <c r="AH19" i="1"/>
  <c r="AH18" i="1"/>
  <c r="AH16" i="1"/>
  <c r="AH15" i="1"/>
  <c r="AH14" i="1"/>
  <c r="AH13" i="1"/>
  <c r="AH12" i="1"/>
  <c r="AH11" i="1"/>
  <c r="AH10" i="1"/>
  <c r="AH9" i="1"/>
  <c r="AH8" i="1"/>
  <c r="AG5" i="1"/>
  <c r="AF5" i="1"/>
  <c r="AD5" i="1"/>
  <c r="H42" i="6" l="1"/>
  <c r="N42" i="6" s="1"/>
  <c r="N36" i="6"/>
  <c r="N35" i="6"/>
  <c r="N11" i="6"/>
  <c r="N33" i="6"/>
  <c r="N34" i="6"/>
  <c r="N32" i="6"/>
  <c r="N37" i="6"/>
  <c r="N39" i="6"/>
  <c r="N31" i="6"/>
  <c r="N38" i="6"/>
  <c r="N25" i="6"/>
  <c r="N27" i="6"/>
  <c r="N30" i="6"/>
  <c r="N28" i="6"/>
  <c r="N29" i="6"/>
  <c r="N44" i="6"/>
  <c r="N19" i="6"/>
  <c r="N22" i="6"/>
  <c r="N21" i="6"/>
  <c r="N13" i="6"/>
  <c r="N16" i="6"/>
  <c r="N14" i="6"/>
  <c r="N18" i="6"/>
  <c r="N15" i="6"/>
  <c r="N26" i="6"/>
  <c r="N23" i="6"/>
  <c r="N17" i="6"/>
  <c r="N20" i="6"/>
  <c r="I41" i="6"/>
  <c r="N41" i="6"/>
  <c r="AL25" i="1"/>
  <c r="AK25" i="1"/>
  <c r="AJ19" i="1"/>
  <c r="AJ20" i="1"/>
  <c r="AJ24" i="1"/>
  <c r="AJ8" i="1"/>
  <c r="AJ16" i="1"/>
  <c r="AJ23" i="1"/>
  <c r="AJ15" i="1"/>
  <c r="AL15" i="1"/>
  <c r="AJ13" i="1"/>
  <c r="AJ18" i="1"/>
  <c r="H8" i="6"/>
  <c r="N8" i="6" s="1"/>
  <c r="AJ11" i="1"/>
  <c r="I8" i="6" s="1"/>
  <c r="AJ12" i="1"/>
  <c r="H6" i="6"/>
  <c r="N6" i="6" s="1"/>
  <c r="AJ9" i="1"/>
  <c r="I6" i="6" s="1"/>
  <c r="H7" i="6"/>
  <c r="N7" i="6" s="1"/>
  <c r="AJ10" i="1"/>
  <c r="I7" i="6" s="1"/>
  <c r="AJ14" i="1"/>
  <c r="H5" i="6"/>
  <c r="N5" i="6" s="1"/>
  <c r="I5" i="6"/>
  <c r="AH22" i="1"/>
  <c r="H10" i="6" s="1"/>
  <c r="N10" i="6" s="1"/>
  <c r="AH17" i="1"/>
  <c r="F5" i="8" l="1"/>
  <c r="F21" i="9"/>
  <c r="F22" i="9" s="1"/>
  <c r="F23" i="9" s="1"/>
  <c r="F15" i="8"/>
  <c r="F19" i="8"/>
  <c r="F9" i="9"/>
  <c r="F4" i="8"/>
  <c r="H9" i="6"/>
  <c r="N9" i="6" s="1"/>
  <c r="AH26" i="1"/>
  <c r="H35" i="5"/>
  <c r="H26" i="5"/>
  <c r="H12" i="6" l="1"/>
  <c r="N12" i="6" s="1"/>
  <c r="F13" i="8"/>
  <c r="F10" i="9"/>
  <c r="F12" i="9" s="1"/>
  <c r="F11" i="9"/>
  <c r="H40" i="6" l="1"/>
  <c r="N40" i="6" s="1"/>
  <c r="E85" i="5"/>
  <c r="G84" i="1" s="1"/>
  <c r="L84" i="1" s="1"/>
  <c r="H43" i="6" l="1"/>
  <c r="N43" i="6" s="1"/>
  <c r="I40" i="6"/>
  <c r="I43" i="6" s="1"/>
  <c r="D28" i="6"/>
  <c r="AK84" i="1"/>
  <c r="M84" i="1"/>
  <c r="E28" i="6" s="1"/>
  <c r="V20" i="1"/>
  <c r="D44" i="6" l="1"/>
  <c r="E44" i="6" s="1"/>
  <c r="D6" i="8"/>
  <c r="S22" i="1"/>
  <c r="Y22" i="1" s="1"/>
  <c r="S17" i="1" l="1"/>
  <c r="Y17" i="1" s="1"/>
  <c r="U16" i="1"/>
  <c r="P48" i="1" l="1"/>
  <c r="F48" i="1"/>
  <c r="G48" i="1" s="1"/>
  <c r="E36" i="5" l="1"/>
  <c r="G36" i="1" s="1"/>
  <c r="P57" i="1" l="1"/>
  <c r="V5" i="1" l="1"/>
  <c r="U5" i="1"/>
  <c r="S5" i="1"/>
  <c r="P51" i="1" l="1"/>
  <c r="P47" i="1" l="1"/>
  <c r="W51" i="1"/>
  <c r="W57" i="1"/>
  <c r="AL57" i="1" s="1"/>
  <c r="W113" i="1"/>
  <c r="W114" i="1"/>
  <c r="W115" i="1"/>
  <c r="AL34" i="1"/>
  <c r="P50" i="1"/>
  <c r="Y51" i="1" l="1"/>
  <c r="AL51" i="1"/>
  <c r="AJ48" i="1"/>
  <c r="I24" i="6" s="1"/>
  <c r="W49" i="1"/>
  <c r="AL49" i="1" s="1"/>
  <c r="W47" i="1"/>
  <c r="W50" i="1"/>
  <c r="F24" i="6" l="1"/>
  <c r="AL47" i="1"/>
  <c r="Y50" i="1"/>
  <c r="Y49" i="1" s="1"/>
  <c r="AL50" i="1"/>
  <c r="Y47" i="1"/>
  <c r="W12" i="1"/>
  <c r="AL12" i="1" s="1"/>
  <c r="W13" i="1"/>
  <c r="W14" i="1"/>
  <c r="AL14" i="1" s="1"/>
  <c r="Y15" i="1"/>
  <c r="W16" i="1"/>
  <c r="W17" i="1"/>
  <c r="AL17" i="1" s="1"/>
  <c r="W18" i="1"/>
  <c r="W19" i="1"/>
  <c r="W20" i="1"/>
  <c r="W22" i="1"/>
  <c r="AL22" i="1" s="1"/>
  <c r="W23" i="1"/>
  <c r="W24" i="1"/>
  <c r="Y57" i="1"/>
  <c r="P46" i="1"/>
  <c r="E18" i="8" l="1"/>
  <c r="L24" i="6"/>
  <c r="Y13" i="1"/>
  <c r="AL13" i="1"/>
  <c r="Y20" i="1"/>
  <c r="AL20" i="1"/>
  <c r="Y16" i="1"/>
  <c r="AL16" i="1"/>
  <c r="Y24" i="1"/>
  <c r="AL24" i="1"/>
  <c r="Y19" i="1"/>
  <c r="AL19" i="1"/>
  <c r="Y23" i="1"/>
  <c r="AL23" i="1"/>
  <c r="Y18" i="1"/>
  <c r="AL18" i="1"/>
  <c r="Y21" i="1"/>
  <c r="AL21" i="1"/>
  <c r="Y14" i="1"/>
  <c r="Y12" i="1"/>
  <c r="W46" i="1"/>
  <c r="AJ25" i="1"/>
  <c r="I9" i="6"/>
  <c r="I10" i="6"/>
  <c r="W31" i="1"/>
  <c r="W32" i="1"/>
  <c r="F10" i="6"/>
  <c r="F9" i="6"/>
  <c r="F47" i="1"/>
  <c r="G47" i="1" s="1"/>
  <c r="L47" i="1" s="1"/>
  <c r="AK47" i="1" s="1"/>
  <c r="E13" i="8" l="1"/>
  <c r="L9" i="6"/>
  <c r="E19" i="8"/>
  <c r="L10" i="6"/>
  <c r="AL32" i="1"/>
  <c r="Y32" i="1"/>
  <c r="G17" i="6" s="1"/>
  <c r="F17" i="6"/>
  <c r="AL31" i="1"/>
  <c r="Y31" i="1"/>
  <c r="G16" i="6" s="1"/>
  <c r="AJ26" i="1"/>
  <c r="G9" i="6"/>
  <c r="F16" i="6"/>
  <c r="L16" i="6" s="1"/>
  <c r="G10" i="6"/>
  <c r="Y44" i="1"/>
  <c r="G24" i="6" s="1"/>
  <c r="E8" i="8" l="1"/>
  <c r="L17" i="6"/>
  <c r="G12" i="1"/>
  <c r="L12" i="1" s="1"/>
  <c r="M12" i="1" s="1"/>
  <c r="W11" i="1"/>
  <c r="W10" i="1"/>
  <c r="W9" i="1"/>
  <c r="W8" i="1"/>
  <c r="AL8" i="1" s="1"/>
  <c r="H5" i="1"/>
  <c r="J5" i="1"/>
  <c r="K5" i="1"/>
  <c r="Y11" i="1" l="1"/>
  <c r="G8" i="6" s="1"/>
  <c r="AL11" i="1"/>
  <c r="Y9" i="1"/>
  <c r="G6" i="6" s="1"/>
  <c r="AL9" i="1"/>
  <c r="Y10" i="1"/>
  <c r="G7" i="6" s="1"/>
  <c r="AL10" i="1"/>
  <c r="Y8" i="1"/>
  <c r="W26" i="1"/>
  <c r="AL26" i="1" s="1"/>
  <c r="AK12" i="1"/>
  <c r="W27" i="1"/>
  <c r="F8" i="6"/>
  <c r="L8" i="6" s="1"/>
  <c r="F5" i="6"/>
  <c r="W29" i="1"/>
  <c r="W30" i="1"/>
  <c r="F7" i="6"/>
  <c r="F6" i="6"/>
  <c r="G31" i="1"/>
  <c r="G30" i="1"/>
  <c r="G29" i="1"/>
  <c r="L27" i="1"/>
  <c r="AK27" i="1" s="1"/>
  <c r="G11" i="1"/>
  <c r="G10" i="1"/>
  <c r="G9" i="1"/>
  <c r="E21" i="9" l="1"/>
  <c r="E22" i="9" s="1"/>
  <c r="E23" i="9" s="1"/>
  <c r="E5" i="8"/>
  <c r="L6" i="6"/>
  <c r="E15" i="8"/>
  <c r="L7" i="6"/>
  <c r="E13" i="9"/>
  <c r="E16" i="9" s="1"/>
  <c r="E14" i="9"/>
  <c r="E15" i="9" s="1"/>
  <c r="E9" i="9"/>
  <c r="E4" i="8"/>
  <c r="L5" i="6"/>
  <c r="Y27" i="1"/>
  <c r="AL27" i="1"/>
  <c r="Y26" i="1"/>
  <c r="AL30" i="1"/>
  <c r="Y30" i="1"/>
  <c r="G15" i="6" s="1"/>
  <c r="AL29" i="1"/>
  <c r="Y29" i="1"/>
  <c r="G14" i="6" s="1"/>
  <c r="F12" i="6"/>
  <c r="L12" i="6" s="1"/>
  <c r="L9" i="1"/>
  <c r="F13" i="6"/>
  <c r="AK8" i="1"/>
  <c r="AH35" i="1"/>
  <c r="F15" i="6"/>
  <c r="L15" i="6" s="1"/>
  <c r="F14" i="6"/>
  <c r="W35" i="1"/>
  <c r="F20" i="6" s="1"/>
  <c r="G5" i="6"/>
  <c r="L10" i="1"/>
  <c r="M10" i="1" s="1"/>
  <c r="M27" i="1"/>
  <c r="L11" i="1"/>
  <c r="M11" i="1" s="1"/>
  <c r="E14" i="8" l="1"/>
  <c r="L14" i="6"/>
  <c r="M14" i="6" s="1"/>
  <c r="E10" i="9"/>
  <c r="E12" i="9" s="1"/>
  <c r="E11" i="9"/>
  <c r="E12" i="8"/>
  <c r="L13" i="6"/>
  <c r="M13" i="6" s="1"/>
  <c r="M9" i="1"/>
  <c r="D5" i="6"/>
  <c r="AJ35" i="1"/>
  <c r="AK11" i="1"/>
  <c r="AK10" i="1"/>
  <c r="AK9" i="1"/>
  <c r="AL35" i="1"/>
  <c r="W36" i="1"/>
  <c r="G13" i="6"/>
  <c r="Y35" i="1"/>
  <c r="E10" i="1"/>
  <c r="D9" i="9" l="1"/>
  <c r="D4" i="8"/>
  <c r="Y36" i="1"/>
  <c r="G21" i="6" s="1"/>
  <c r="F21" i="6"/>
  <c r="AL36" i="1"/>
  <c r="H38" i="5"/>
  <c r="R38" i="1" s="1"/>
  <c r="H37" i="5"/>
  <c r="R37" i="1" s="1"/>
  <c r="E11" i="8" l="1"/>
  <c r="E10" i="8"/>
  <c r="L21" i="6"/>
  <c r="D10" i="9"/>
  <c r="D12" i="9" s="1"/>
  <c r="D11" i="9"/>
  <c r="W38" i="1"/>
  <c r="AL38" i="1" s="1"/>
  <c r="W37" i="1"/>
  <c r="E14" i="1"/>
  <c r="E14" i="5"/>
  <c r="G14" i="1" s="1"/>
  <c r="E13" i="5"/>
  <c r="G13" i="1" s="1"/>
  <c r="E48" i="1"/>
  <c r="E47" i="1"/>
  <c r="W117" i="1" l="1"/>
  <c r="F37" i="6" s="1"/>
  <c r="F42" i="6" s="1"/>
  <c r="Y37" i="1"/>
  <c r="G22" i="6" s="1"/>
  <c r="F22" i="6"/>
  <c r="L22" i="6" s="1"/>
  <c r="AL37" i="1"/>
  <c r="Y38" i="1"/>
  <c r="G23" i="6" s="1"/>
  <c r="F23" i="6"/>
  <c r="L23" i="6" s="1"/>
  <c r="L14" i="1"/>
  <c r="M14" i="1" s="1"/>
  <c r="L13" i="1"/>
  <c r="E36" i="6"/>
  <c r="E35" i="6"/>
  <c r="E34" i="6"/>
  <c r="E33" i="6"/>
  <c r="E31" i="6"/>
  <c r="E32" i="6"/>
  <c r="M13" i="1" l="1"/>
  <c r="AK14" i="1"/>
  <c r="Y117" i="1"/>
  <c r="AK13" i="1"/>
  <c r="G49" i="1" l="1"/>
  <c r="L49" i="1" s="1"/>
  <c r="E44" i="1"/>
  <c r="G44" i="1" s="1"/>
  <c r="L44" i="1" s="1"/>
  <c r="E13" i="1"/>
  <c r="E12" i="1"/>
  <c r="AK44" i="1" l="1"/>
  <c r="AK49" i="1"/>
  <c r="L48" i="1"/>
  <c r="AK48" i="1" s="1"/>
  <c r="M49" i="1"/>
  <c r="L18" i="1"/>
  <c r="M18" i="1" s="1"/>
  <c r="L23" i="1"/>
  <c r="E24" i="1"/>
  <c r="L24" i="1" s="1"/>
  <c r="M24" i="1" s="1"/>
  <c r="E19" i="1"/>
  <c r="L19" i="1" s="1"/>
  <c r="M19" i="1" s="1"/>
  <c r="H22" i="1"/>
  <c r="M22" i="1" s="1"/>
  <c r="J16" i="1"/>
  <c r="L16" i="1" s="1"/>
  <c r="E22" i="1"/>
  <c r="E17" i="1"/>
  <c r="J21" i="1"/>
  <c r="L21" i="1" s="1"/>
  <c r="M21" i="1" s="1"/>
  <c r="K20" i="1"/>
  <c r="L20" i="1" s="1"/>
  <c r="M20" i="1" s="1"/>
  <c r="E57" i="1"/>
  <c r="E30" i="1"/>
  <c r="E32" i="1"/>
  <c r="E29" i="1"/>
  <c r="E27" i="1"/>
  <c r="L116" i="1"/>
  <c r="AK116" i="1" s="1"/>
  <c r="L115" i="1"/>
  <c r="AK115" i="1" s="1"/>
  <c r="L114" i="1"/>
  <c r="AK114" i="1" s="1"/>
  <c r="L113" i="1"/>
  <c r="AK113" i="1" s="1"/>
  <c r="E38" i="1"/>
  <c r="E11" i="1"/>
  <c r="E38" i="5"/>
  <c r="G38" i="1" s="1"/>
  <c r="M38" i="1" s="1"/>
  <c r="G37" i="1"/>
  <c r="M37" i="1" s="1"/>
  <c r="E37" i="1"/>
  <c r="E36" i="1"/>
  <c r="E8" i="1" s="1"/>
  <c r="D24" i="6" l="1"/>
  <c r="D18" i="8" s="1"/>
  <c r="M16" i="1"/>
  <c r="AK23" i="1"/>
  <c r="M23" i="1"/>
  <c r="D9" i="6"/>
  <c r="D13" i="8" s="1"/>
  <c r="AK24" i="1"/>
  <c r="AK17" i="1"/>
  <c r="AK20" i="1"/>
  <c r="AK16" i="1"/>
  <c r="AK19" i="1"/>
  <c r="AK15" i="1"/>
  <c r="AK21" i="1"/>
  <c r="AK18" i="1"/>
  <c r="AL114" i="1"/>
  <c r="AL115" i="1"/>
  <c r="AL113" i="1"/>
  <c r="AL116" i="1"/>
  <c r="L22" i="1"/>
  <c r="L26" i="1" s="1"/>
  <c r="AK26" i="1" s="1"/>
  <c r="E9" i="1"/>
  <c r="M48" i="1"/>
  <c r="D35" i="6"/>
  <c r="D31" i="6"/>
  <c r="D33" i="6"/>
  <c r="D32" i="6"/>
  <c r="D34" i="6"/>
  <c r="D36" i="6"/>
  <c r="E7" i="6"/>
  <c r="M44" i="1"/>
  <c r="L37" i="1"/>
  <c r="L38" i="1"/>
  <c r="L29" i="1"/>
  <c r="AK29" i="1" s="1"/>
  <c r="L36" i="1"/>
  <c r="AK36" i="1" s="1"/>
  <c r="L31" i="1"/>
  <c r="AK31" i="1" s="1"/>
  <c r="L30" i="1"/>
  <c r="L32" i="1"/>
  <c r="AK32" i="1" s="1"/>
  <c r="L57" i="1"/>
  <c r="AK57" i="1" s="1"/>
  <c r="AK30" i="1" l="1"/>
  <c r="D13" i="9"/>
  <c r="D16" i="9" s="1"/>
  <c r="D14" i="9"/>
  <c r="D15" i="9" s="1"/>
  <c r="AL117" i="1"/>
  <c r="M26" i="1"/>
  <c r="AK22" i="1"/>
  <c r="AK37" i="1"/>
  <c r="AK38" i="1"/>
  <c r="M32" i="1"/>
  <c r="M31" i="1"/>
  <c r="M30" i="1"/>
  <c r="M29" i="1"/>
  <c r="M57" i="1"/>
  <c r="D10" i="6"/>
  <c r="D19" i="8" s="1"/>
  <c r="D22" i="6"/>
  <c r="E23" i="6"/>
  <c r="F41" i="6"/>
  <c r="G41" i="6" s="1"/>
  <c r="D7" i="6"/>
  <c r="D15" i="8" s="1"/>
  <c r="D23" i="6"/>
  <c r="D26" i="6"/>
  <c r="D20" i="8" s="1"/>
  <c r="E24" i="6"/>
  <c r="M36" i="1"/>
  <c r="E21" i="6" s="1"/>
  <c r="D15" i="6"/>
  <c r="D16" i="6"/>
  <c r="G35" i="1"/>
  <c r="D17" i="6"/>
  <c r="D8" i="8" s="1"/>
  <c r="D14" i="6"/>
  <c r="D21" i="6"/>
  <c r="L117" i="1"/>
  <c r="D14" i="8" l="1"/>
  <c r="D11" i="8"/>
  <c r="D10" i="8"/>
  <c r="H45" i="6"/>
  <c r="N45" i="6" s="1"/>
  <c r="I42" i="6"/>
  <c r="L42" i="6"/>
  <c r="AK117" i="1"/>
  <c r="AJ117" i="1"/>
  <c r="L35" i="1"/>
  <c r="AK35" i="1" s="1"/>
  <c r="G26" i="1"/>
  <c r="E9" i="6"/>
  <c r="E10" i="6"/>
  <c r="D8" i="6"/>
  <c r="E22" i="6"/>
  <c r="E17" i="6"/>
  <c r="E14" i="6"/>
  <c r="E16" i="6"/>
  <c r="E15" i="6"/>
  <c r="M117" i="1"/>
  <c r="E8" i="6"/>
  <c r="E26" i="6"/>
  <c r="D37" i="6"/>
  <c r="D42" i="6" s="1"/>
  <c r="E42" i="6" s="1"/>
  <c r="D13" i="6"/>
  <c r="D12" i="8" s="1"/>
  <c r="I45" i="6" l="1"/>
  <c r="L44" i="6"/>
  <c r="D20" i="6"/>
  <c r="D41" i="6" s="1"/>
  <c r="E41" i="6" s="1"/>
  <c r="E6" i="6"/>
  <c r="D6" i="6"/>
  <c r="M35" i="1"/>
  <c r="E13" i="6"/>
  <c r="G42" i="6"/>
  <c r="D12" i="6" l="1"/>
  <c r="D40" i="6" s="1"/>
  <c r="D5" i="8"/>
  <c r="D21" i="9"/>
  <c r="D22" i="9" s="1"/>
  <c r="D23" i="9" s="1"/>
  <c r="D43" i="6"/>
  <c r="D45" i="6" s="1"/>
  <c r="E45" i="6" s="1"/>
  <c r="F40" i="6"/>
  <c r="E40" i="6"/>
  <c r="E43" i="6" s="1"/>
  <c r="G40" i="6" l="1"/>
  <c r="G43" i="6" s="1"/>
  <c r="F43" i="6"/>
  <c r="F45" i="6" s="1"/>
  <c r="G45" i="6" s="1"/>
</calcChain>
</file>

<file path=xl/comments1.xml><?xml version="1.0" encoding="utf-8"?>
<comments xmlns="http://schemas.openxmlformats.org/spreadsheetml/2006/main">
  <authors>
    <author>LETANG Kristell</author>
    <author>FLORES-GUTIERREZ Josue-Fernando</author>
    <author>relecteur</author>
  </authors>
  <commentList>
    <comment ref="E4" authorId="0" shapeId="0">
      <text>
        <r>
          <rPr>
            <b/>
            <sz val="9"/>
            <color indexed="81"/>
            <rFont val="Tahoma"/>
            <family val="2"/>
          </rPr>
          <t>LETANG Kristell:</t>
        </r>
        <r>
          <rPr>
            <sz val="9"/>
            <color indexed="81"/>
            <rFont val="Tahoma"/>
            <family val="2"/>
          </rPr>
          <t xml:space="preserve">
Bilan Social 2010</t>
        </r>
      </text>
    </comment>
    <comment ref="H4" authorId="0" shapeId="0">
      <text>
        <r>
          <rPr>
            <b/>
            <sz val="9"/>
            <color indexed="81"/>
            <rFont val="Tahoma"/>
            <family val="2"/>
          </rPr>
          <t>LETANG Kristell:</t>
        </r>
        <r>
          <rPr>
            <sz val="9"/>
            <color indexed="81"/>
            <rFont val="Tahoma"/>
            <family val="2"/>
          </rPr>
          <t xml:space="preserve">
Bilan social 2014
Personnel seul
Saint-Etienne et Gardanne</t>
        </r>
      </text>
    </comment>
    <comment ref="K4" authorId="1" shapeId="0">
      <text>
        <r>
          <rPr>
            <b/>
            <sz val="9"/>
            <color indexed="81"/>
            <rFont val="Tahoma"/>
            <family val="2"/>
          </rPr>
          <t>FLORES-GUTIERREZ Josue-Fernando:</t>
        </r>
        <r>
          <rPr>
            <sz val="9"/>
            <color indexed="81"/>
            <rFont val="Tahoma"/>
            <family val="2"/>
          </rPr>
          <t xml:space="preserve">
Source: Bilan social 2017
Donnée par Mme DEMEURE Fabienne G2-08</t>
        </r>
      </text>
    </comment>
    <comment ref="E5" authorId="0" shapeId="0">
      <text>
        <r>
          <rPr>
            <b/>
            <sz val="9"/>
            <color indexed="81"/>
            <rFont val="Tahoma"/>
            <family val="2"/>
          </rPr>
          <t>LETANG Kristell:</t>
        </r>
        <r>
          <rPr>
            <sz val="9"/>
            <color indexed="81"/>
            <rFont val="Tahoma"/>
            <family val="2"/>
          </rPr>
          <t xml:space="preserve">
Bilan social 2010
Personnel + doctorants + MAD</t>
        </r>
      </text>
    </comment>
    <comment ref="H5" authorId="0" shapeId="0">
      <text>
        <r>
          <rPr>
            <b/>
            <sz val="9"/>
            <color indexed="81"/>
            <rFont val="Tahoma"/>
            <family val="2"/>
          </rPr>
          <t>LETANG Kristell:</t>
        </r>
        <r>
          <rPr>
            <sz val="9"/>
            <color indexed="81"/>
            <rFont val="Tahoma"/>
            <family val="2"/>
          </rPr>
          <t xml:space="preserve">
Bilan social 2014
personnels + MAD + doctorants</t>
        </r>
      </text>
    </comment>
    <comment ref="K5" authorId="1" shapeId="0">
      <text>
        <r>
          <rPr>
            <b/>
            <sz val="9"/>
            <color indexed="81"/>
            <rFont val="Tahoma"/>
            <family val="2"/>
          </rPr>
          <t>FLORES-GUTIERREZ Josue-Fernando:</t>
        </r>
        <r>
          <rPr>
            <sz val="9"/>
            <color indexed="81"/>
            <rFont val="Tahoma"/>
            <family val="2"/>
          </rPr>
          <t xml:space="preserve">
Source: Bilan social 2017
Donnée par Mme DEMEURE Fabienne G2-08</t>
        </r>
      </text>
    </comment>
    <comment ref="K6" authorId="1" shapeId="0">
      <text>
        <r>
          <rPr>
            <b/>
            <sz val="9"/>
            <color indexed="81"/>
            <rFont val="Tahoma"/>
            <family val="2"/>
          </rPr>
          <t>FLORES-GUTIERREZ Josue-Fernando:</t>
        </r>
        <r>
          <rPr>
            <sz val="9"/>
            <color indexed="81"/>
            <rFont val="Tahoma"/>
            <family val="2"/>
          </rPr>
          <t xml:space="preserve">
Source: Bilan social 2017
Donnée par Mme DEMEURE Fabienne G2-08, le nombre des heures travaillées 1607 et donc divisé par 7,5 heures qui est la moyenne des heures travaillées par jour par etp</t>
        </r>
      </text>
    </comment>
    <comment ref="H8" authorId="0" shapeId="0">
      <text>
        <r>
          <rPr>
            <b/>
            <sz val="9"/>
            <color indexed="81"/>
            <rFont val="Tahoma"/>
            <family val="2"/>
          </rPr>
          <t>LETANG Kristell:</t>
        </r>
        <r>
          <rPr>
            <sz val="9"/>
            <color indexed="81"/>
            <rFont val="Tahoma"/>
            <family val="2"/>
          </rPr>
          <t xml:space="preserve">
Source : Tableau des consommations année 2014</t>
        </r>
      </text>
    </comment>
    <comment ref="K8" authorId="1" shapeId="0">
      <text>
        <r>
          <rPr>
            <b/>
            <sz val="9"/>
            <color indexed="81"/>
            <rFont val="Tahoma"/>
            <family val="2"/>
          </rPr>
          <t>FLORES-GUTIERREZ Josue-Fernando:</t>
        </r>
        <r>
          <rPr>
            <sz val="9"/>
            <color indexed="81"/>
            <rFont val="Tahoma"/>
            <family val="2"/>
          </rPr>
          <t xml:space="preserve">
Source: Servgen/ Secretariat/ Fluides/ 2017/Conso &amp; dépenses 2017</t>
        </r>
      </text>
    </comment>
    <comment ref="H9" authorId="0" shapeId="0">
      <text>
        <r>
          <rPr>
            <b/>
            <sz val="9"/>
            <color indexed="81"/>
            <rFont val="Tahoma"/>
            <family val="2"/>
          </rPr>
          <t>LETANG Kristell:</t>
        </r>
        <r>
          <rPr>
            <sz val="9"/>
            <color indexed="81"/>
            <rFont val="Tahoma"/>
            <family val="2"/>
          </rPr>
          <t xml:space="preserve">
Source : tableau des consommations  Gardanne</t>
        </r>
      </text>
    </comment>
    <comment ref="K9" authorId="1" shapeId="0">
      <text>
        <r>
          <rPr>
            <b/>
            <sz val="9"/>
            <color indexed="81"/>
            <rFont val="Tahoma"/>
            <family val="2"/>
          </rPr>
          <t>FLORES-GUTIERREZ Josue-Fernando:</t>
        </r>
        <r>
          <rPr>
            <sz val="9"/>
            <color indexed="81"/>
            <rFont val="Tahoma"/>
            <family val="2"/>
          </rPr>
          <t xml:space="preserve">
Source: Servgen/ Secretariat/ Fluides/ 2017/Conso &amp; dépenses 2017</t>
        </r>
      </text>
    </comment>
    <comment ref="H10" authorId="0" shapeId="0">
      <text>
        <r>
          <rPr>
            <b/>
            <sz val="9"/>
            <color indexed="81"/>
            <rFont val="Tahoma"/>
            <family val="2"/>
          </rPr>
          <t>LETANG Kristell:</t>
        </r>
        <r>
          <rPr>
            <sz val="9"/>
            <color indexed="81"/>
            <rFont val="Tahoma"/>
            <family val="2"/>
          </rPr>
          <t xml:space="preserve">
Source : tableau récapitulatif 2014 parc routier EMSE</t>
        </r>
      </text>
    </comment>
    <comment ref="K10" authorId="1" shapeId="0">
      <text>
        <r>
          <rPr>
            <b/>
            <sz val="9"/>
            <color indexed="81"/>
            <rFont val="Tahoma"/>
            <family val="2"/>
          </rPr>
          <t>FLORES-GUTIERREZ Josue-Fernando:</t>
        </r>
        <r>
          <rPr>
            <sz val="9"/>
            <color indexed="81"/>
            <rFont val="Tahoma"/>
            <family val="2"/>
          </rPr>
          <t xml:space="preserve">
Source: Servgen/ Vehicules/ Carburant &amp; parking/ 2017/  Récap dépenses carburant 2017</t>
        </r>
      </text>
    </comment>
    <comment ref="H11" authorId="0" shapeId="0">
      <text>
        <r>
          <rPr>
            <b/>
            <sz val="9"/>
            <color indexed="81"/>
            <rFont val="Tahoma"/>
            <family val="2"/>
          </rPr>
          <t>LETANG Kristell:</t>
        </r>
        <r>
          <rPr>
            <sz val="9"/>
            <color indexed="81"/>
            <rFont val="Tahoma"/>
            <family val="2"/>
          </rPr>
          <t xml:space="preserve">
Source : tableau récapitulatif 2014 parc routier EMSE</t>
        </r>
      </text>
    </comment>
    <comment ref="K11" authorId="1" shapeId="0">
      <text>
        <r>
          <rPr>
            <b/>
            <sz val="9"/>
            <color indexed="81"/>
            <rFont val="Tahoma"/>
            <family val="2"/>
          </rPr>
          <t>FLORES-GUTIERREZ Josue-Fernando:</t>
        </r>
        <r>
          <rPr>
            <sz val="9"/>
            <color indexed="81"/>
            <rFont val="Tahoma"/>
            <family val="2"/>
          </rPr>
          <t xml:space="preserve">
5,99L de Super 95 
Donnée par EPALLE Christine H1-13 </t>
        </r>
      </text>
    </comment>
    <comment ref="H12" authorId="0" shapeId="0">
      <text>
        <r>
          <rPr>
            <b/>
            <sz val="9"/>
            <color indexed="81"/>
            <rFont val="Tahoma"/>
            <family val="2"/>
          </rPr>
          <t>LETANG Kristell:</t>
        </r>
        <r>
          <rPr>
            <sz val="9"/>
            <color indexed="81"/>
            <rFont val="Tahoma"/>
            <family val="2"/>
          </rPr>
          <t xml:space="preserve">
Seule la puissance peut être renseignée</t>
        </r>
      </text>
    </comment>
    <comment ref="K12" authorId="1" shapeId="0">
      <text>
        <r>
          <rPr>
            <b/>
            <sz val="9"/>
            <color indexed="81"/>
            <rFont val="Tahoma"/>
            <family val="2"/>
          </rPr>
          <t>FLORES-GUTIERREZ Josue-Fernando:</t>
        </r>
        <r>
          <rPr>
            <sz val="9"/>
            <color indexed="81"/>
            <rFont val="Tahoma"/>
            <family val="2"/>
          </rPr>
          <t xml:space="preserve">
Juste la puissance renseigné à partir de l'excel Puissances froid + la liste de materiaux donnée par Mr, MICHALON David
Résultat:
Espace Fauriel:
- Groupe production equ glacée CIAT RZ400 200kW
158 CF:
-BatC: Groupe production equ glacée CIAT RZ350 85kW
-BatJ: Groupe production equ glacée BEUTOT 130kW
-BatK: Groupe production equ glacée CIAT 180kW
Puissance total = 200 + 85 + 130 + 180 = 595 kW</t>
        </r>
      </text>
    </comment>
    <comment ref="H13" authorId="0" shapeId="0">
      <text>
        <r>
          <rPr>
            <b/>
            <sz val="9"/>
            <color indexed="81"/>
            <rFont val="Tahoma"/>
            <family val="2"/>
          </rPr>
          <t>LETANG Kristell:</t>
        </r>
        <r>
          <rPr>
            <sz val="9"/>
            <color indexed="81"/>
            <rFont val="Tahoma"/>
            <family val="2"/>
          </rPr>
          <t xml:space="preserve">
Seule la puissance peut être renseignée</t>
        </r>
      </text>
    </comment>
    <comment ref="K13" authorId="1" shapeId="0">
      <text>
        <r>
          <rPr>
            <b/>
            <sz val="9"/>
            <color indexed="81"/>
            <rFont val="Tahoma"/>
            <family val="2"/>
          </rPr>
          <t>FLORES-GUTIERREZ Josue-Fernando:</t>
        </r>
        <r>
          <rPr>
            <sz val="9"/>
            <color indexed="81"/>
            <rFont val="Tahoma"/>
            <family val="2"/>
          </rPr>
          <t xml:space="preserve">
Source: Liste du materiel donnée par David MICHALON
Il manque quelques puissances</t>
        </r>
      </text>
    </comment>
    <comment ref="K14" authorId="1" shapeId="0">
      <text>
        <r>
          <rPr>
            <b/>
            <sz val="9"/>
            <color indexed="81"/>
            <rFont val="Tahoma"/>
            <family val="2"/>
          </rPr>
          <t>FLORES-GUTIERREZ Josue-Fernando:</t>
        </r>
        <r>
          <rPr>
            <sz val="9"/>
            <color indexed="81"/>
            <rFont val="Tahoma"/>
            <family val="2"/>
          </rPr>
          <t xml:space="preserve">
Just la puissance a été renseignée 
Il manquela puissance de la salle blanche 
*11-12 juin visite à Gardanne </t>
        </r>
      </text>
    </comment>
    <comment ref="H15" authorId="0" shapeId="0">
      <text>
        <r>
          <rPr>
            <b/>
            <sz val="9"/>
            <color indexed="81"/>
            <rFont val="Tahoma"/>
            <family val="2"/>
          </rPr>
          <t>LETANG Kristell:</t>
        </r>
        <r>
          <rPr>
            <sz val="9"/>
            <color indexed="81"/>
            <rFont val="Tahoma"/>
            <family val="2"/>
          </rPr>
          <t xml:space="preserve">
Durée du marché 4 ans
9,4/4 = 2,35 kg
La bouteille n'est pas consommée en entier
Consommation moyenne sur 4 ans</t>
        </r>
      </text>
    </comment>
    <comment ref="K15" authorId="1" shapeId="0">
      <text>
        <r>
          <rPr>
            <b/>
            <sz val="9"/>
            <color indexed="81"/>
            <rFont val="Tahoma"/>
            <family val="2"/>
          </rPr>
          <t>FLORES-GUTIERREZ Josue-Fernando:</t>
        </r>
        <r>
          <rPr>
            <sz val="9"/>
            <color indexed="81"/>
            <rFont val="Tahoma"/>
            <family val="2"/>
          </rPr>
          <t xml:space="preserve">
Meme hypothese que pour l'année 2014 
*Durée du marché 4 ans 9,4/4 = 2,35 kg
La bouteille n'est pas consommée en entier
Consommation moyenne sur 4 ans</t>
        </r>
      </text>
    </comment>
    <comment ref="K16" authorId="1" shapeId="0">
      <text>
        <r>
          <rPr>
            <b/>
            <sz val="9"/>
            <color indexed="81"/>
            <rFont val="Tahoma"/>
            <family val="2"/>
          </rPr>
          <t>FLORES-GUTIERREZ Josue-Fernando:</t>
        </r>
        <r>
          <rPr>
            <sz val="9"/>
            <color indexed="81"/>
            <rFont val="Tahoma"/>
            <family val="2"/>
          </rPr>
          <t xml:space="preserve">
Source: JAVELLE Raymonde
Pas d'achat de CHF3 pour l'année 2017</t>
        </r>
      </text>
    </comment>
    <comment ref="K17" authorId="1" shapeId="0">
      <text>
        <r>
          <rPr>
            <b/>
            <sz val="9"/>
            <color indexed="81"/>
            <rFont val="Tahoma"/>
            <family val="2"/>
          </rPr>
          <t>FLORES-GUTIERREZ Josue-Fernando:</t>
        </r>
        <r>
          <rPr>
            <sz val="9"/>
            <color indexed="81"/>
            <rFont val="Tahoma"/>
            <family val="2"/>
          </rPr>
          <t xml:space="preserve">
Source: Liste Commande produits chimiques donnée par JAVELLE Raymonde H1-04
</t>
        </r>
      </text>
    </comment>
    <comment ref="E18" authorId="0" shapeId="0">
      <text>
        <r>
          <rPr>
            <b/>
            <sz val="9"/>
            <color indexed="81"/>
            <rFont val="Tahoma"/>
            <family val="2"/>
          </rPr>
          <t>LETANG Kristell:</t>
        </r>
        <r>
          <rPr>
            <sz val="9"/>
            <color indexed="81"/>
            <rFont val="Tahoma"/>
            <family val="2"/>
          </rPr>
          <t xml:space="preserve">
Bouteilles commandées en 2011 à Air Liquide</t>
        </r>
      </text>
    </comment>
    <comment ref="K18" authorId="1" shapeId="0">
      <text>
        <r>
          <rPr>
            <b/>
            <sz val="9"/>
            <color indexed="81"/>
            <rFont val="Tahoma"/>
            <family val="2"/>
          </rPr>
          <t>FLORES-GUTIERREZ Josue-Fernando:</t>
        </r>
        <r>
          <rPr>
            <sz val="9"/>
            <color indexed="81"/>
            <rFont val="Tahoma"/>
            <family val="2"/>
          </rPr>
          <t xml:space="preserve">
Source: Liste Commande produits chimiques donnée par JAVELLE Raymonde H1-04
CO2 total:
CO2 Industriel (34kg) + CO2 Extra pur (262,5kg) = 296,5 kg de CO2</t>
        </r>
      </text>
    </comment>
    <comment ref="K19" authorId="1" shapeId="0">
      <text>
        <r>
          <rPr>
            <b/>
            <sz val="9"/>
            <color indexed="81"/>
            <rFont val="Tahoma"/>
            <family val="2"/>
          </rPr>
          <t>FLORES-GUTIERREZ Josue-Fernando:</t>
        </r>
        <r>
          <rPr>
            <sz val="9"/>
            <color indexed="81"/>
            <rFont val="Tahoma"/>
            <family val="2"/>
          </rPr>
          <t xml:space="preserve">
Source: EPALLE Christine
4 bouteilles achetées en 2017 et chaque bouteille est de 13 kg donc:
4*13 = 52 kg de Propane C3H8
</t>
        </r>
      </text>
    </comment>
    <comment ref="E20" authorId="0" shapeId="0">
      <text>
        <r>
          <rPr>
            <b/>
            <sz val="9"/>
            <color indexed="81"/>
            <rFont val="Tahoma"/>
            <family val="2"/>
          </rPr>
          <t>LETANG Kristell:</t>
        </r>
        <r>
          <rPr>
            <sz val="9"/>
            <color indexed="81"/>
            <rFont val="Tahoma"/>
            <family val="2"/>
          </rPr>
          <t xml:space="preserve">
2,87 kg consommé
Hypothèse : 1% rejeté
une infime partie est rejetée dans l'atmosphère car le gaz se décompose lors de procédés</t>
        </r>
      </text>
    </comment>
    <comment ref="H20" authorId="0" shapeId="0">
      <text>
        <r>
          <rPr>
            <b/>
            <sz val="9"/>
            <color indexed="81"/>
            <rFont val="Tahoma"/>
            <family val="2"/>
          </rPr>
          <t>LETANG Kristell:</t>
        </r>
        <r>
          <rPr>
            <sz val="9"/>
            <color indexed="81"/>
            <rFont val="Tahoma"/>
            <family val="2"/>
          </rPr>
          <t xml:space="preserve">
2,87 kg consommé
Hypothèse : 1% rejeté
une infime partie est rejetée dans l'atmosphère car le gaz se décompose lors de procédés</t>
        </r>
      </text>
    </comment>
    <comment ref="K20" authorId="1" shapeId="0">
      <text>
        <r>
          <rPr>
            <b/>
            <sz val="9"/>
            <color indexed="81"/>
            <rFont val="Tahoma"/>
            <family val="2"/>
          </rPr>
          <t>FLORES-GUTIERREZ Josue-Fernando:</t>
        </r>
        <r>
          <rPr>
            <sz val="9"/>
            <color indexed="81"/>
            <rFont val="Tahoma"/>
            <family val="2"/>
          </rPr>
          <t xml:space="preserve">
Meme hypothese que pour l'année 2014 
*2,87 kg consommé Hypothèse : 1% rejeté
une infime partie est rejetée dans l'atmosphère car le gaz se décompose lors de procédés</t>
        </r>
      </text>
    </comment>
    <comment ref="N20" authorId="1" shapeId="0">
      <text>
        <r>
          <rPr>
            <b/>
            <sz val="9"/>
            <color indexed="81"/>
            <rFont val="Tahoma"/>
            <family val="2"/>
          </rPr>
          <t>FLORES-GUTIERREZ Josue-Fernando:</t>
        </r>
        <r>
          <rPr>
            <sz val="9"/>
            <color indexed="81"/>
            <rFont val="Tahoma"/>
            <family val="2"/>
          </rPr>
          <t xml:space="preserve">
Consommotion maximale 0,2 Nm3/an, qui n’est pas rejetée sous forme de SF6, mais sous formes de très nombreuses espèces chimiques, car il est décomposé dans un plasma contenant souvent de l’O2 en plus.
 Rejets :
-          majoritaire : SiF4 (SF6 consommé)
-          pour les espèces minoritaires (SF6 non consommé par la réaction de gravure) : SO2F2, SOF2, S2F10, SF4, SOF4, SO2, HF, SF5, F2…
 Source: RONDEAU Gaelle
</t>
        </r>
      </text>
    </comment>
    <comment ref="K21" authorId="1" shapeId="0">
      <text>
        <r>
          <rPr>
            <b/>
            <sz val="9"/>
            <color indexed="81"/>
            <rFont val="Tahoma"/>
            <family val="2"/>
          </rPr>
          <t>FLORES-GUTIERREZ Josue-Fernando:</t>
        </r>
        <r>
          <rPr>
            <sz val="9"/>
            <color indexed="81"/>
            <rFont val="Tahoma"/>
            <family val="2"/>
          </rPr>
          <t xml:space="preserve">
Pas d'achat de CHF3 dans l'année 2017 
Source: JAVELLE Raymonde H1-04</t>
        </r>
      </text>
    </comment>
    <comment ref="K22" authorId="1" shapeId="0">
      <text>
        <r>
          <rPr>
            <b/>
            <sz val="9"/>
            <color indexed="81"/>
            <rFont val="Tahoma"/>
            <family val="2"/>
          </rPr>
          <t>FLORES-GUTIERREZ Josue-Fernando:</t>
        </r>
        <r>
          <rPr>
            <sz val="9"/>
            <color indexed="81"/>
            <rFont val="Tahoma"/>
            <family val="2"/>
          </rPr>
          <t xml:space="preserve">
Pas d'achat de CH4 dans l'année 2017 
Source: JAVELLE Raymonde H1-04</t>
        </r>
      </text>
    </comment>
    <comment ref="E23" authorId="0" shapeId="0">
      <text>
        <r>
          <rPr>
            <b/>
            <sz val="9"/>
            <color indexed="81"/>
            <rFont val="Tahoma"/>
            <family val="2"/>
          </rPr>
          <t>LETANG Kristell:</t>
        </r>
        <r>
          <rPr>
            <sz val="9"/>
            <color indexed="81"/>
            <rFont val="Tahoma"/>
            <family val="2"/>
          </rPr>
          <t xml:space="preserve">
Bouteilles commandées en 2011 à Air Liquide</t>
        </r>
      </text>
    </comment>
    <comment ref="K23" authorId="1" shapeId="0">
      <text>
        <r>
          <rPr>
            <b/>
            <sz val="9"/>
            <color indexed="81"/>
            <rFont val="Tahoma"/>
            <family val="2"/>
          </rPr>
          <t>FLORES-GUTIERREZ Josue-Fernando:</t>
        </r>
        <r>
          <rPr>
            <sz val="9"/>
            <color indexed="81"/>
            <rFont val="Tahoma"/>
            <family val="2"/>
          </rPr>
          <t xml:space="preserve">
Source: Liste Commande produits chimiques donnée par JAVELLE Raymonde H1-04
CO2 total:
CO2 Extra pur (150kg)+CO2/industriel (37,5kg) = 187,5 kg</t>
        </r>
      </text>
    </comment>
    <comment ref="K24" authorId="1" shapeId="0">
      <text>
        <r>
          <rPr>
            <b/>
            <sz val="9"/>
            <color indexed="81"/>
            <rFont val="Tahoma"/>
            <family val="2"/>
          </rPr>
          <t>FLORES-GUTIERREZ Josue-Fernando:</t>
        </r>
        <r>
          <rPr>
            <sz val="9"/>
            <color indexed="81"/>
            <rFont val="Tahoma"/>
            <family val="2"/>
          </rPr>
          <t xml:space="preserve">
Pas d'achat de C3H8 pour Gardanne
Source: JAVELLE Raymonde</t>
        </r>
      </text>
    </comment>
    <comment ref="H27" authorId="0" shapeId="0">
      <text>
        <r>
          <rPr>
            <b/>
            <sz val="9"/>
            <color indexed="81"/>
            <rFont val="Tahoma"/>
            <family val="2"/>
          </rPr>
          <t>LETANG Kristell:</t>
        </r>
        <r>
          <rPr>
            <sz val="9"/>
            <color indexed="81"/>
            <rFont val="Tahoma"/>
            <family val="2"/>
          </rPr>
          <t xml:space="preserve">
Source : récapitulatif 2014 consommations électricité du 158</t>
        </r>
      </text>
    </comment>
    <comment ref="K27" authorId="1" shapeId="0">
      <text>
        <r>
          <rPr>
            <b/>
            <sz val="9"/>
            <color indexed="81"/>
            <rFont val="Tahoma"/>
            <family val="2"/>
          </rPr>
          <t>FLORES-GUTIERREZ Josue-Fernando:</t>
        </r>
        <r>
          <rPr>
            <sz val="9"/>
            <color indexed="81"/>
            <rFont val="Tahoma"/>
            <family val="2"/>
          </rPr>
          <t xml:space="preserve">
Source: Servgen /Secretariat / Fluides/ 2017/ Conso &amp; dépenses 2017</t>
        </r>
      </text>
    </comment>
    <comment ref="K28" authorId="1" shapeId="0">
      <text>
        <r>
          <rPr>
            <b/>
            <sz val="9"/>
            <color indexed="81"/>
            <rFont val="Tahoma"/>
            <family val="2"/>
          </rPr>
          <t>FLORES-GUTIERREZ Josue-Fernando:</t>
        </r>
        <r>
          <rPr>
            <sz val="9"/>
            <color indexed="81"/>
            <rFont val="Tahoma"/>
            <family val="2"/>
          </rPr>
          <t xml:space="preserve">
Source: Servgen/ Secretariat/ Fluides/ 2017/Conso &amp; dépenses 2017
3 voitures:
ZOE 9 --&gt;5164 km
ZOE 10 --&gt;3453 km
ZOE 11 --&gt;2625 km
Avec l'estimation de 12,17 kWh/100km (Source ADEME), les trois voitures consomment : (5164+3453+2625)/100*12,17 =1368,2 KWh</t>
        </r>
      </text>
    </comment>
    <comment ref="H29" authorId="0" shapeId="0">
      <text>
        <r>
          <rPr>
            <b/>
            <sz val="9"/>
            <color indexed="81"/>
            <rFont val="Tahoma"/>
            <family val="2"/>
          </rPr>
          <t>LETANG Kristell:</t>
        </r>
        <r>
          <rPr>
            <sz val="9"/>
            <color indexed="81"/>
            <rFont val="Tahoma"/>
            <family val="2"/>
          </rPr>
          <t xml:space="preserve">
Source : données de consommation STE EF_élec_chauffage_hors chauffage_2014</t>
        </r>
      </text>
    </comment>
    <comment ref="K29" authorId="1" shapeId="0">
      <text>
        <r>
          <rPr>
            <b/>
            <sz val="9"/>
            <color indexed="81"/>
            <rFont val="Tahoma"/>
            <family val="2"/>
          </rPr>
          <t>FLORES-GUTIERREZ Josue-Fernando:</t>
        </r>
        <r>
          <rPr>
            <sz val="9"/>
            <color indexed="81"/>
            <rFont val="Tahoma"/>
            <family val="2"/>
          </rPr>
          <t xml:space="preserve">
Source: Servgen/Secretariat/ Fluides/ 2017/Conso &amp; dépenses 2017</t>
        </r>
      </text>
    </comment>
    <comment ref="H30" authorId="0" shapeId="0">
      <text>
        <r>
          <rPr>
            <b/>
            <sz val="9"/>
            <color indexed="81"/>
            <rFont val="Tahoma"/>
            <family val="2"/>
          </rPr>
          <t>LETANG Kristell:</t>
        </r>
        <r>
          <rPr>
            <sz val="9"/>
            <color indexed="81"/>
            <rFont val="Tahoma"/>
            <family val="2"/>
          </rPr>
          <t xml:space="preserve">
Réalisé à partir d'une moyenne de consommation sur les mois de Novembre à Mars
données de consommation STE EF_élec_chauffage_hors chauffage_2014</t>
        </r>
      </text>
    </comment>
    <comment ref="K30" authorId="1" shapeId="0">
      <text>
        <r>
          <rPr>
            <b/>
            <sz val="9"/>
            <color indexed="81"/>
            <rFont val="Tahoma"/>
            <family val="2"/>
          </rPr>
          <t>FLORES-GUTIERREZ Josue-Fernando:</t>
        </r>
        <r>
          <rPr>
            <sz val="9"/>
            <color indexed="81"/>
            <rFont val="Tahoma"/>
            <family val="2"/>
          </rPr>
          <t xml:space="preserve">
Source: Servgen/Secretariat/ Fluides/ 2017/Conso &amp; dépenses 2017</t>
        </r>
      </text>
    </comment>
    <comment ref="H31" authorId="0" shapeId="0">
      <text>
        <r>
          <rPr>
            <b/>
            <sz val="9"/>
            <color indexed="81"/>
            <rFont val="Tahoma"/>
            <family val="2"/>
          </rPr>
          <t>LETANG Kristell:</t>
        </r>
        <r>
          <rPr>
            <sz val="9"/>
            <color indexed="81"/>
            <rFont val="Tahoma"/>
            <family val="2"/>
          </rPr>
          <t xml:space="preserve">
Source : données de consommation élec 2014</t>
        </r>
      </text>
    </comment>
    <comment ref="K31" authorId="1" shapeId="0">
      <text>
        <r>
          <rPr>
            <b/>
            <sz val="9"/>
            <color indexed="81"/>
            <rFont val="Tahoma"/>
            <family val="2"/>
          </rPr>
          <t>FLORES-GUTIERREZ Josue-Fernando:</t>
        </r>
        <r>
          <rPr>
            <sz val="9"/>
            <color indexed="81"/>
            <rFont val="Tahoma"/>
            <family val="2"/>
          </rPr>
          <t xml:space="preserve">
Source: 
Servgen/Secretariat/ Fluides/ 2017/Conso &amp; dépenses 2017
</t>
        </r>
      </text>
    </comment>
    <comment ref="H32" authorId="0" shapeId="0">
      <text>
        <r>
          <rPr>
            <b/>
            <sz val="9"/>
            <color indexed="81"/>
            <rFont val="Tahoma"/>
            <family val="2"/>
          </rPr>
          <t>LETANG Kristell:</t>
        </r>
        <r>
          <rPr>
            <sz val="9"/>
            <color indexed="81"/>
            <rFont val="Tahoma"/>
            <family val="2"/>
          </rPr>
          <t xml:space="preserve">
Source : données de consommation élec 2014 Gardanne</t>
        </r>
      </text>
    </comment>
    <comment ref="K32" authorId="1" shapeId="0">
      <text>
        <r>
          <rPr>
            <b/>
            <sz val="9"/>
            <color indexed="81"/>
            <rFont val="Tahoma"/>
            <family val="2"/>
          </rPr>
          <t>FLORES-GUTIERREZ Josue-Fernando:</t>
        </r>
        <r>
          <rPr>
            <sz val="9"/>
            <color indexed="81"/>
            <rFont val="Tahoma"/>
            <family val="2"/>
          </rPr>
          <t xml:space="preserve">
Source: 
Servgen/Secretariat/ Fluides/ 2017/Conso &amp; dépenses 2017</t>
        </r>
      </text>
    </comment>
    <comment ref="K33" authorId="1" shapeId="0">
      <text>
        <r>
          <rPr>
            <b/>
            <sz val="9"/>
            <color indexed="81"/>
            <rFont val="Tahoma"/>
            <family val="2"/>
          </rPr>
          <t>FLORES-GUTIERREZ Josue-Fernando:</t>
        </r>
        <r>
          <rPr>
            <sz val="9"/>
            <color indexed="81"/>
            <rFont val="Tahoma"/>
            <family val="2"/>
          </rPr>
          <t xml:space="preserve">
Source: 
Servgen/Secretariat/ Fluides/ 2017/Conso &amp; dépenses 2017</t>
        </r>
      </text>
    </comment>
    <comment ref="K34" authorId="1" shapeId="0">
      <text>
        <r>
          <rPr>
            <b/>
            <sz val="9"/>
            <color indexed="81"/>
            <rFont val="Tahoma"/>
            <family val="2"/>
          </rPr>
          <t>FLORES-GUTIERREZ Josue-Fernando:</t>
        </r>
        <r>
          <rPr>
            <sz val="9"/>
            <color indexed="81"/>
            <rFont val="Tahoma"/>
            <family val="2"/>
          </rPr>
          <t xml:space="preserve">
Source:
Factures Mme EPALLE Christine
Consommation 2015: 90415,42 kWh (9 mois) -&gt; 120553,89 (12mois)
Consommation 2016: 114930 kWh (12mois)
Moyenne des consommations = (120553,89+114930)/2 = 117742 kWh
Pour trouver son incertitude
120553,89 - 114930 = 5623,89 
 *si 120553,89 -&gt;100%     5623,89 = 5%
 *si 114930 -&gt; 100%         5623,89 = 5%       </t>
        </r>
      </text>
    </comment>
    <comment ref="H36" authorId="0" shapeId="0">
      <text>
        <r>
          <rPr>
            <b/>
            <sz val="9"/>
            <color indexed="81"/>
            <rFont val="Tahoma"/>
            <family val="2"/>
          </rPr>
          <t>LETANG Kristell:</t>
        </r>
        <r>
          <rPr>
            <sz val="9"/>
            <color indexed="81"/>
            <rFont val="Tahoma"/>
            <family val="2"/>
          </rPr>
          <t xml:space="preserve">
Somme de chaufferie gaz 158 et Gardanne
prise en compte de la production</t>
        </r>
      </text>
    </comment>
    <comment ref="K36" authorId="1" shapeId="0">
      <text>
        <r>
          <rPr>
            <b/>
            <sz val="9"/>
            <color indexed="81"/>
            <rFont val="Tahoma"/>
            <family val="2"/>
          </rPr>
          <t>FLORES-GUTIERREZ Josue-Fernando:</t>
        </r>
        <r>
          <rPr>
            <sz val="9"/>
            <color indexed="81"/>
            <rFont val="Tahoma"/>
            <family val="2"/>
          </rPr>
          <t xml:space="preserve">
Somme de chaufferie gaz 158 et Gardanne
Source: Servgen/ Secretariat/ Fluides/ 2017/Conso &amp; dépenses 2017</t>
        </r>
      </text>
    </comment>
    <comment ref="K37" authorId="1" shapeId="0">
      <text>
        <r>
          <rPr>
            <b/>
            <sz val="9"/>
            <color indexed="81"/>
            <rFont val="Tahoma"/>
            <family val="2"/>
          </rPr>
          <t>FLORES-GUTIERREZ Josue-Fernando:</t>
        </r>
        <r>
          <rPr>
            <sz val="9"/>
            <color indexed="81"/>
            <rFont val="Tahoma"/>
            <family val="2"/>
          </rPr>
          <t xml:space="preserve">
Source: Servgen/ Vehicules/ Carburant &amp; parking/ 2017/  Récap dépenses carburant 2017</t>
        </r>
      </text>
    </comment>
    <comment ref="K38" authorId="1" shapeId="0">
      <text>
        <r>
          <rPr>
            <b/>
            <sz val="9"/>
            <color indexed="81"/>
            <rFont val="Tahoma"/>
            <family val="2"/>
          </rPr>
          <t>FLORES-GUTIERREZ Josue-Fernando:</t>
        </r>
        <r>
          <rPr>
            <sz val="9"/>
            <color indexed="81"/>
            <rFont val="Tahoma"/>
            <family val="2"/>
          </rPr>
          <t xml:space="preserve">
5,99L de Super 95 
Donnée par EPALLE Christine H1-13 </t>
        </r>
      </text>
    </comment>
    <comment ref="K40" authorId="1" shapeId="0">
      <text>
        <r>
          <rPr>
            <b/>
            <sz val="9"/>
            <color indexed="81"/>
            <rFont val="Tahoma"/>
            <family val="2"/>
          </rPr>
          <t>FLORES-GUTIERREZ Josue-Fernando:</t>
        </r>
        <r>
          <rPr>
            <sz val="9"/>
            <color indexed="81"/>
            <rFont val="Tahoma"/>
            <family val="2"/>
          </rPr>
          <t xml:space="preserve">
Source : Servgen/ Vehicules/ Parc vehicules/ GT vechicules IMT/ Etat parc auto EMSE 2018 01 03 + Servgen/vechicules/ carburant&amp;parking/ 2017/ Recap depenses carburant 2017
Grace aux immatriculations (Servgen/ Vehicules/ Immatriculatios) on a pu trouver le poid vide de chaque vehicule,
La somme totale du poid de tous les 14 vehicules qui possede l'EMSE à Saint-Etienne + 3 vechicules a Gardanne  est 22,6 t
A ce chiffre on l'a divisé par 6 ("l'impact à nous", Chaque 6 ans l'EMSE change de voitures) 
18,56t/ 6 = 3,77 t
</t>
        </r>
      </text>
    </comment>
    <comment ref="K41" authorId="1" shapeId="0">
      <text>
        <r>
          <rPr>
            <b/>
            <sz val="9"/>
            <color indexed="81"/>
            <rFont val="Tahoma"/>
            <family val="2"/>
          </rPr>
          <t>FLORES-GUTIERREZ Josue-Fernando:</t>
        </r>
        <r>
          <rPr>
            <sz val="9"/>
            <color indexed="81"/>
            <rFont val="Tahoma"/>
            <family val="2"/>
          </rPr>
          <t xml:space="preserve">
Source : HERVY Max H1-08b
958 ordinateurs fixes avec ecran plat 
avec un amortissement de 5 ans 
</t>
        </r>
      </text>
    </comment>
    <comment ref="K42" authorId="1" shapeId="0">
      <text>
        <r>
          <rPr>
            <b/>
            <sz val="9"/>
            <color indexed="81"/>
            <rFont val="Tahoma"/>
            <family val="2"/>
          </rPr>
          <t>FLORES-GUTIERREZ Josue-Fernando:</t>
        </r>
        <r>
          <rPr>
            <sz val="9"/>
            <color indexed="81"/>
            <rFont val="Tahoma"/>
            <family val="2"/>
          </rPr>
          <t xml:space="preserve">
Source : HERVY Max H1-08b
431 ordinateurs pôrtables avec un amortissement de 5 ans 
</t>
        </r>
      </text>
    </comment>
    <comment ref="K43" authorId="1" shapeId="0">
      <text>
        <r>
          <rPr>
            <b/>
            <sz val="9"/>
            <color indexed="81"/>
            <rFont val="Tahoma"/>
            <family val="2"/>
          </rPr>
          <t>FLORES-GUTIERREZ Josue-Fernando:</t>
        </r>
        <r>
          <rPr>
            <sz val="9"/>
            <color indexed="81"/>
            <rFont val="Tahoma"/>
            <family val="2"/>
          </rPr>
          <t xml:space="preserve">
Source : HERVY Max H1-08b
2200 écrans actifs dont 958 sont pour les ordinateurs fixes avec ecran plat et 431 pour les ordinateurs portables, donc il reste 811 écrans 
</t>
        </r>
      </text>
    </comment>
    <comment ref="H45" authorId="0" shapeId="0">
      <text>
        <r>
          <rPr>
            <b/>
            <sz val="9"/>
            <color indexed="81"/>
            <rFont val="Tahoma"/>
            <family val="2"/>
          </rPr>
          <t>LETANG Kristell:</t>
        </r>
        <r>
          <rPr>
            <sz val="9"/>
            <color indexed="81"/>
            <rFont val="Tahoma"/>
            <family val="2"/>
          </rPr>
          <t xml:space="preserve">
Rachats euroconteneurs papiers - SERMACO
Gestion des déchets 2014 = 6,28 T
Déchets papiers EF = 2,25 T</t>
        </r>
      </text>
    </comment>
    <comment ref="K45" authorId="1" shapeId="0">
      <text>
        <r>
          <rPr>
            <b/>
            <sz val="9"/>
            <color indexed="81"/>
            <rFont val="Tahoma"/>
            <family val="2"/>
          </rPr>
          <t>FLORES-GUTIERREZ Josue-Fernando:</t>
        </r>
        <r>
          <rPr>
            <sz val="9"/>
            <color indexed="81"/>
            <rFont val="Tahoma"/>
            <family val="2"/>
          </rPr>
          <t xml:space="preserve">
EF 1,638 t + 158CF 8,340 t
Source Suivi de dechet 2018 fait par Mr, DOUET Martial</t>
        </r>
      </text>
    </comment>
    <comment ref="H46" authorId="0" shapeId="0">
      <text>
        <r>
          <rPr>
            <b/>
            <sz val="9"/>
            <color indexed="81"/>
            <rFont val="Tahoma"/>
            <family val="2"/>
          </rPr>
          <t>LETANG Kristell:</t>
        </r>
        <r>
          <rPr>
            <sz val="9"/>
            <color indexed="81"/>
            <rFont val="Tahoma"/>
            <family val="2"/>
          </rPr>
          <t xml:space="preserve">
Rachat euroconteneurs cartons - SERMACO
Gestion des déchets 2014
seulement le 158
</t>
        </r>
      </text>
    </comment>
    <comment ref="K46" authorId="1" shapeId="0">
      <text>
        <r>
          <rPr>
            <b/>
            <sz val="9"/>
            <color indexed="81"/>
            <rFont val="Tahoma"/>
            <family val="2"/>
          </rPr>
          <t>FLORES-GUTIERREZ Josue-Fernando:</t>
        </r>
        <r>
          <rPr>
            <sz val="9"/>
            <color indexed="81"/>
            <rFont val="Tahoma"/>
            <family val="2"/>
          </rPr>
          <t xml:space="preserve">
Saint-Etienne 1,84t
Source Suivi de dechet 2018 fait par Mr, DOUET Martial</t>
        </r>
      </text>
    </comment>
    <comment ref="H47" authorId="0" shapeId="0">
      <text>
        <r>
          <rPr>
            <b/>
            <sz val="9"/>
            <color indexed="81"/>
            <rFont val="Tahoma"/>
            <family val="2"/>
          </rPr>
          <t>LETANG Kristell:</t>
        </r>
        <r>
          <rPr>
            <sz val="9"/>
            <color indexed="81"/>
            <rFont val="Tahoma"/>
            <family val="2"/>
          </rPr>
          <t xml:space="preserve">
Enlèvement ferrailles rachat de ferrailles
SOFOREC</t>
        </r>
      </text>
    </comment>
    <comment ref="K47" authorId="1" shapeId="0">
      <text>
        <r>
          <rPr>
            <b/>
            <sz val="9"/>
            <color indexed="81"/>
            <rFont val="Tahoma"/>
            <family val="2"/>
          </rPr>
          <t>FLORES-GUTIERREZ Josue-Fernando:</t>
        </r>
        <r>
          <rPr>
            <sz val="9"/>
            <color indexed="81"/>
            <rFont val="Tahoma"/>
            <family val="2"/>
          </rPr>
          <t xml:space="preserve">
Source Suivi de dechet 2018 fait par Mr, DOUET Martial</t>
        </r>
      </text>
    </comment>
    <comment ref="H48" authorId="1" shapeId="0">
      <text>
        <r>
          <rPr>
            <b/>
            <sz val="9"/>
            <color indexed="81"/>
            <rFont val="Tahoma"/>
            <family val="2"/>
          </rPr>
          <t>FLORES-GUTIERREZ Josue-Fernando:</t>
        </r>
        <r>
          <rPr>
            <sz val="9"/>
            <color indexed="81"/>
            <rFont val="Tahoma"/>
            <family val="2"/>
          </rPr>
          <t xml:space="preserve">
DIB = 10,22 t
et 
Poubelles ordures meganers SEM =259,76 m3 * 150 kg/m3 /1000 (divisé par 1000 pour le rendre en tonnes) = 38,96t
Les deux pris en compte car les pour ces deux type de dechet la destination finale est CET
CET=DIB+SEM = 10,22+38,96 =49,18t</t>
        </r>
      </text>
    </comment>
    <comment ref="K48" authorId="1" shapeId="0">
      <text>
        <r>
          <rPr>
            <b/>
            <sz val="9"/>
            <color indexed="81"/>
            <rFont val="Tahoma"/>
            <family val="2"/>
          </rPr>
          <t>FLORES-GUTIERREZ Josue-Fernando:</t>
        </r>
        <r>
          <rPr>
            <sz val="9"/>
            <color indexed="81"/>
            <rFont val="Tahoma"/>
            <family val="2"/>
          </rPr>
          <t xml:space="preserve">
DIB = 10,22 t
et 
Poubelles ordures meganers SEM =259,76 m3 * 150 kg/m3 /1000 (divisé par 1000 pour le rendre en tonnes) = 38,96t
Les deux pris en compte car les pour ces deux type de dechet la destination finale est CET
CET=DIB+SEM = 10,22+38,96 =49,18t</t>
        </r>
      </text>
    </comment>
    <comment ref="K51" authorId="1" shapeId="0">
      <text>
        <r>
          <rPr>
            <b/>
            <sz val="9"/>
            <color indexed="81"/>
            <rFont val="Tahoma"/>
            <family val="2"/>
          </rPr>
          <t>FLORES-GUTIERREZ Josue-Fernando:</t>
        </r>
        <r>
          <rPr>
            <sz val="9"/>
            <color indexed="81"/>
            <rFont val="Tahoma"/>
            <family val="2"/>
          </rPr>
          <t xml:space="preserve">
Total de déchet chimiques 2183 kg /1000 (pour le rendre en tonnes)
Source Suivi déchet 2018 fait par Mr DOUET Martial</t>
        </r>
      </text>
    </comment>
    <comment ref="K52" authorId="1" shapeId="0">
      <text>
        <r>
          <rPr>
            <b/>
            <sz val="9"/>
            <color indexed="81"/>
            <rFont val="Tahoma"/>
            <family val="2"/>
          </rPr>
          <t>FLORES-GUTIERREZ Josue-Fernando:</t>
        </r>
        <r>
          <rPr>
            <sz val="9"/>
            <color indexed="81"/>
            <rFont val="Tahoma"/>
            <family val="2"/>
          </rPr>
          <t xml:space="preserve">
Total de DASRI 850L 
Avec sa densité 0,18 kg/L Source (Collection reperes DASRI - ADEME)
850*0,18/1000 (divisé par 1000 pour le rendre en tonnes)
Source Suivi de dechet 2018 fait par Mr, DOUET Martial</t>
        </r>
      </text>
    </comment>
    <comment ref="E54" authorId="2" shapeId="0">
      <text>
        <r>
          <rPr>
            <b/>
            <sz val="10"/>
            <color indexed="81"/>
            <rFont val="Tahoma"/>
            <family val="2"/>
          </rPr>
          <t xml:space="preserve">NG:
</t>
        </r>
        <r>
          <rPr>
            <sz val="10"/>
            <color indexed="81"/>
            <rFont val="Tahoma"/>
            <family val="2"/>
          </rPr>
          <t>données sur la base d'un questionnaite effectué en 2009 pour Saint-Etienne
Donnée Gardanne date de 2015</t>
        </r>
      </text>
    </comment>
    <comment ref="H54" authorId="0" shapeId="0">
      <text>
        <r>
          <rPr>
            <b/>
            <sz val="9"/>
            <color indexed="81"/>
            <rFont val="Tahoma"/>
            <family val="2"/>
          </rPr>
          <t>LETANG Kristell:</t>
        </r>
        <r>
          <rPr>
            <sz val="9"/>
            <color indexed="81"/>
            <rFont val="Tahoma"/>
            <family val="2"/>
          </rPr>
          <t xml:space="preserve">
Enquete mobilité 2015</t>
        </r>
      </text>
    </comment>
    <comment ref="E55" authorId="2" shapeId="0">
      <text>
        <r>
          <rPr>
            <b/>
            <sz val="10"/>
            <color indexed="81"/>
            <rFont val="Tahoma"/>
            <family val="2"/>
          </rPr>
          <t xml:space="preserve">NG:
</t>
        </r>
        <r>
          <rPr>
            <sz val="10"/>
            <color indexed="81"/>
            <rFont val="Tahoma"/>
            <family val="2"/>
          </rPr>
          <t>données sur la base d'un questionnaite effectué en 2009 pour Saint-Etienne
Donnée Gardanne date de 2015</t>
        </r>
      </text>
    </comment>
    <comment ref="H55" authorId="0" shapeId="0">
      <text>
        <r>
          <rPr>
            <b/>
            <sz val="9"/>
            <color indexed="81"/>
            <rFont val="Tahoma"/>
            <family val="2"/>
          </rPr>
          <t>LETANG Kristell:</t>
        </r>
        <r>
          <rPr>
            <sz val="9"/>
            <color indexed="81"/>
            <rFont val="Tahoma"/>
            <family val="2"/>
          </rPr>
          <t xml:space="preserve">
Enquete mobilité 2015</t>
        </r>
      </text>
    </comment>
    <comment ref="E56" authorId="2" shapeId="0">
      <text>
        <r>
          <rPr>
            <b/>
            <sz val="10"/>
            <color indexed="81"/>
            <rFont val="Tahoma"/>
            <family val="2"/>
          </rPr>
          <t xml:space="preserve">NG:
</t>
        </r>
        <r>
          <rPr>
            <sz val="10"/>
            <color indexed="81"/>
            <rFont val="Tahoma"/>
            <family val="2"/>
          </rPr>
          <t>données sur la base d'un questionnaite effectué en 2009 pour Saint-Etienne
Donnée Gardanne date de 2015</t>
        </r>
      </text>
    </comment>
    <comment ref="H56" authorId="0" shapeId="0">
      <text>
        <r>
          <rPr>
            <b/>
            <sz val="9"/>
            <color indexed="81"/>
            <rFont val="Tahoma"/>
            <family val="2"/>
          </rPr>
          <t>LETANG Kristell:</t>
        </r>
        <r>
          <rPr>
            <sz val="9"/>
            <color indexed="81"/>
            <rFont val="Tahoma"/>
            <family val="2"/>
          </rPr>
          <t xml:space="preserve">
Enquete mobilité 2015</t>
        </r>
      </text>
    </comment>
    <comment ref="E57" authorId="2" shapeId="0">
      <text>
        <r>
          <rPr>
            <b/>
            <sz val="10"/>
            <color indexed="81"/>
            <rFont val="Tahoma"/>
            <family val="2"/>
          </rPr>
          <t xml:space="preserve">NG:
</t>
        </r>
        <r>
          <rPr>
            <sz val="10"/>
            <color indexed="81"/>
            <rFont val="Tahoma"/>
            <family val="2"/>
          </rPr>
          <t>données sur la base d'un questionnaite effectué en 2009 pour Saint-Etienne
Donnée Gardanne date de 2015</t>
        </r>
      </text>
    </comment>
    <comment ref="H57" authorId="0" shapeId="0">
      <text>
        <r>
          <rPr>
            <b/>
            <sz val="9"/>
            <color indexed="81"/>
            <rFont val="Tahoma"/>
            <family val="2"/>
          </rPr>
          <t>LETANG Kristell:</t>
        </r>
        <r>
          <rPr>
            <sz val="9"/>
            <color indexed="81"/>
            <rFont val="Tahoma"/>
            <family val="2"/>
          </rPr>
          <t xml:space="preserve">
Enquete mobilité 2015</t>
        </r>
      </text>
    </comment>
    <comment ref="E58" authorId="2" shapeId="0">
      <text>
        <r>
          <rPr>
            <b/>
            <sz val="10"/>
            <color indexed="81"/>
            <rFont val="Tahoma"/>
            <family val="2"/>
          </rPr>
          <t xml:space="preserve">NG: </t>
        </r>
        <r>
          <rPr>
            <sz val="10"/>
            <color indexed="81"/>
            <rFont val="Tahoma"/>
            <family val="2"/>
          </rPr>
          <t xml:space="preserve">données estimées sur la base des dépenses en train pour Mondial Evasion
</t>
        </r>
      </text>
    </comment>
    <comment ref="H58" authorId="0" shapeId="0">
      <text>
        <r>
          <rPr>
            <b/>
            <sz val="9"/>
            <color indexed="81"/>
            <rFont val="Tahoma"/>
            <family val="2"/>
          </rPr>
          <t>LETANG Kristell:</t>
        </r>
        <r>
          <rPr>
            <sz val="9"/>
            <color indexed="81"/>
            <rFont val="Tahoma"/>
            <family val="2"/>
          </rPr>
          <t xml:space="preserve">
Donées estimées sur la base de dépenses en train globéo</t>
        </r>
      </text>
    </comment>
    <comment ref="K58" authorId="1" shapeId="0">
      <text>
        <r>
          <rPr>
            <b/>
            <sz val="9"/>
            <color indexed="81"/>
            <rFont val="Tahoma"/>
            <family val="2"/>
          </rPr>
          <t xml:space="preserve">FLORES-GUTIERREZ Josue-Fernando:
</t>
        </r>
        <r>
          <rPr>
            <sz val="9"/>
            <color indexed="81"/>
            <rFont val="Tahoma"/>
            <family val="2"/>
          </rPr>
          <t>Source: BONNETERRE Jacqueline H2-01
Extraction pour les missions en avion/train/voiture personnelle-service</t>
        </r>
      </text>
    </comment>
    <comment ref="E59" authorId="2" shapeId="0">
      <text>
        <r>
          <rPr>
            <b/>
            <sz val="10"/>
            <color indexed="81"/>
            <rFont val="Tahoma"/>
            <family val="2"/>
          </rPr>
          <t xml:space="preserve">NG:
</t>
        </r>
        <r>
          <rPr>
            <sz val="10"/>
            <color indexed="81"/>
            <rFont val="Tahoma"/>
            <family val="2"/>
          </rPr>
          <t xml:space="preserve">données estimées sur la base des dépenses en train pour Mondial Evasion et un ratio en €/km effectué sur 78 voyages
</t>
        </r>
      </text>
    </comment>
    <comment ref="H59" authorId="0" shapeId="0">
      <text>
        <r>
          <rPr>
            <b/>
            <sz val="9"/>
            <color indexed="81"/>
            <rFont val="Tahoma"/>
            <family val="2"/>
          </rPr>
          <t>LETANG Kristell:</t>
        </r>
        <r>
          <rPr>
            <sz val="9"/>
            <color indexed="81"/>
            <rFont val="Tahoma"/>
            <family val="2"/>
          </rPr>
          <t xml:space="preserve">
Donées estimées sur la base des dépenses en avion - globéo</t>
        </r>
      </text>
    </comment>
    <comment ref="K60" authorId="1" shapeId="0">
      <text>
        <r>
          <rPr>
            <b/>
            <sz val="9"/>
            <color indexed="81"/>
            <rFont val="Tahoma"/>
            <family val="2"/>
          </rPr>
          <t xml:space="preserve">FLORES-GUTIERREZ Josue-Fernando:
</t>
        </r>
        <r>
          <rPr>
            <sz val="9"/>
            <color indexed="81"/>
            <rFont val="Tahoma"/>
            <family val="2"/>
          </rPr>
          <t>Source: BONNETERRE Jacqueline H2-01
Extraction pour les missions en avion/train/voiture personnelle-service</t>
        </r>
      </text>
    </comment>
    <comment ref="K61" authorId="1" shapeId="0">
      <text>
        <r>
          <rPr>
            <b/>
            <sz val="9"/>
            <color indexed="81"/>
            <rFont val="Tahoma"/>
            <family val="2"/>
          </rPr>
          <t xml:space="preserve">FLORES-GUTIERREZ Josue-Fernando:
</t>
        </r>
        <r>
          <rPr>
            <sz val="9"/>
            <color indexed="81"/>
            <rFont val="Tahoma"/>
            <family val="2"/>
          </rPr>
          <t>Source: BONNETERRE Jacqueline H2-01
Extraction pour les missions en avion/train/voiture personnelle-service</t>
        </r>
      </text>
    </comment>
    <comment ref="K62" authorId="1" shapeId="0">
      <text>
        <r>
          <rPr>
            <b/>
            <sz val="9"/>
            <color indexed="81"/>
            <rFont val="Tahoma"/>
            <family val="2"/>
          </rPr>
          <t xml:space="preserve">FLORES-GUTIERREZ Josue-Fernando:
</t>
        </r>
        <r>
          <rPr>
            <sz val="9"/>
            <color indexed="81"/>
            <rFont val="Tahoma"/>
            <family val="2"/>
          </rPr>
          <t>Source: BONNETERRE Jacqueline H2-01
Extraction pour les missions en avion/train/voiture personnelle-service</t>
        </r>
      </text>
    </comment>
    <comment ref="K63" authorId="1" shapeId="0">
      <text>
        <r>
          <rPr>
            <b/>
            <sz val="9"/>
            <color indexed="81"/>
            <rFont val="Tahoma"/>
            <family val="2"/>
          </rPr>
          <t xml:space="preserve">FLORES-GUTIERREZ Josue-Fernando:
</t>
        </r>
        <r>
          <rPr>
            <sz val="9"/>
            <color indexed="81"/>
            <rFont val="Tahoma"/>
            <family val="2"/>
          </rPr>
          <t>Source: BONNETERRE Jacqueline H2-01
Extraction pour les missions en avion/train/voiture personnelle-service</t>
        </r>
      </text>
    </comment>
    <comment ref="K64" authorId="1" shapeId="0">
      <text>
        <r>
          <rPr>
            <b/>
            <sz val="9"/>
            <color indexed="81"/>
            <rFont val="Tahoma"/>
            <family val="2"/>
          </rPr>
          <t xml:space="preserve">FLORES-GUTIERREZ Josue-Fernando:
</t>
        </r>
        <r>
          <rPr>
            <sz val="9"/>
            <color indexed="81"/>
            <rFont val="Tahoma"/>
            <family val="2"/>
          </rPr>
          <t>Source: BONNETERRE Jacqueline H2-01
Extraction pour les missions en avion/train/voiture personnelle-service</t>
        </r>
      </text>
    </comment>
    <comment ref="K65" authorId="1" shapeId="0">
      <text>
        <r>
          <rPr>
            <b/>
            <sz val="9"/>
            <color indexed="81"/>
            <rFont val="Tahoma"/>
            <family val="2"/>
          </rPr>
          <t xml:space="preserve">FLORES-GUTIERREZ Josue-Fernando:
</t>
        </r>
        <r>
          <rPr>
            <sz val="9"/>
            <color indexed="81"/>
            <rFont val="Tahoma"/>
            <family val="2"/>
          </rPr>
          <t>Source: BONNETERRE Jacqueline H2-01
Extraction pour les missions en avion/train/voiture personnelle-service</t>
        </r>
      </text>
    </comment>
    <comment ref="K66" authorId="1" shapeId="0">
      <text>
        <r>
          <rPr>
            <b/>
            <sz val="9"/>
            <color indexed="81"/>
            <rFont val="Tahoma"/>
            <family val="2"/>
          </rPr>
          <t xml:space="preserve">FLORES-GUTIERREZ Josue-Fernando:
</t>
        </r>
        <r>
          <rPr>
            <sz val="9"/>
            <color indexed="81"/>
            <rFont val="Tahoma"/>
            <family val="2"/>
          </rPr>
          <t>Source: BONNETERRE Jacqueline H2-01
Extraction pour les missions en avion/train/voiture personnelle-service</t>
        </r>
      </text>
    </comment>
    <comment ref="K67" authorId="1" shapeId="0">
      <text>
        <r>
          <rPr>
            <b/>
            <sz val="9"/>
            <color indexed="81"/>
            <rFont val="Tahoma"/>
            <family val="2"/>
          </rPr>
          <t xml:space="preserve">FLORES-GUTIERREZ Josue-Fernando:
</t>
        </r>
        <r>
          <rPr>
            <sz val="9"/>
            <color indexed="81"/>
            <rFont val="Tahoma"/>
            <family val="2"/>
          </rPr>
          <t>Source: BONNETERRE Jacqueline H2-01
Extraction pour les missions en avion/train/voiture personnelle-service</t>
        </r>
      </text>
    </comment>
    <comment ref="K68" authorId="1" shapeId="0">
      <text>
        <r>
          <rPr>
            <b/>
            <sz val="9"/>
            <color indexed="81"/>
            <rFont val="Tahoma"/>
            <family val="2"/>
          </rPr>
          <t xml:space="preserve">FLORES-GUTIERREZ Josue-Fernando:
</t>
        </r>
        <r>
          <rPr>
            <sz val="9"/>
            <color indexed="81"/>
            <rFont val="Tahoma"/>
            <family val="2"/>
          </rPr>
          <t>Source: BONNETERRE Jacqueline H2-01
Extraction pour les missions en avion/train/voiture personnelle-service</t>
        </r>
      </text>
    </comment>
    <comment ref="K69" authorId="1" shapeId="0">
      <text>
        <r>
          <rPr>
            <b/>
            <sz val="9"/>
            <color indexed="81"/>
            <rFont val="Tahoma"/>
            <family val="2"/>
          </rPr>
          <t xml:space="preserve">FLORES-GUTIERREZ Josue-Fernando:
</t>
        </r>
        <r>
          <rPr>
            <sz val="9"/>
            <color indexed="81"/>
            <rFont val="Tahoma"/>
            <family val="2"/>
          </rPr>
          <t>Source: BONNETERRE Jacqueline H2-01
Extraction pour les missions en avion/train/voiture personnelle-service</t>
        </r>
      </text>
    </comment>
    <comment ref="K70" authorId="1" shapeId="0">
      <text>
        <r>
          <rPr>
            <b/>
            <sz val="9"/>
            <color indexed="81"/>
            <rFont val="Tahoma"/>
            <family val="2"/>
          </rPr>
          <t xml:space="preserve">FLORES-GUTIERREZ Josue-Fernando:
</t>
        </r>
        <r>
          <rPr>
            <sz val="9"/>
            <color indexed="81"/>
            <rFont val="Tahoma"/>
            <family val="2"/>
          </rPr>
          <t>Source: BONNETERRE Jacqueline H2-01
Extraction pour les missions en avion/train/voiture personnelle-service</t>
        </r>
      </text>
    </comment>
    <comment ref="K71" authorId="1" shapeId="0">
      <text>
        <r>
          <rPr>
            <b/>
            <sz val="9"/>
            <color indexed="81"/>
            <rFont val="Tahoma"/>
            <family val="2"/>
          </rPr>
          <t xml:space="preserve">FLORES-GUTIERREZ Josue-Fernando:
</t>
        </r>
        <r>
          <rPr>
            <sz val="9"/>
            <color indexed="81"/>
            <rFont val="Tahoma"/>
            <family val="2"/>
          </rPr>
          <t>Source: BONNETERRE Jacqueline H2-01
Extraction pour les missions en avion/train/voiture personnelle-service</t>
        </r>
      </text>
    </comment>
    <comment ref="E72" authorId="2" shapeId="0">
      <text>
        <r>
          <rPr>
            <b/>
            <sz val="10"/>
            <color indexed="81"/>
            <rFont val="Tahoma"/>
            <family val="2"/>
          </rPr>
          <t xml:space="preserve">NG:
</t>
        </r>
        <r>
          <rPr>
            <sz val="10"/>
            <color indexed="81"/>
            <rFont val="Tahoma"/>
            <family val="2"/>
          </rPr>
          <t>données sur la base d'un questionnaite effectué en 2009 pour Saint-Etienne
Donnée Gardanne date de 2015</t>
        </r>
      </text>
    </comment>
    <comment ref="H72" authorId="0" shapeId="0">
      <text>
        <r>
          <rPr>
            <b/>
            <sz val="9"/>
            <color indexed="81"/>
            <rFont val="Tahoma"/>
            <family val="2"/>
          </rPr>
          <t>LETANG Kristell:</t>
        </r>
        <r>
          <rPr>
            <sz val="9"/>
            <color indexed="81"/>
            <rFont val="Tahoma"/>
            <family val="2"/>
          </rPr>
          <t xml:space="preserve">
Enquete mobilité 2015</t>
        </r>
      </text>
    </comment>
    <comment ref="K73" authorId="1" shapeId="0">
      <text>
        <r>
          <rPr>
            <b/>
            <sz val="9"/>
            <color indexed="81"/>
            <rFont val="Tahoma"/>
            <family val="2"/>
          </rPr>
          <t>FLORES-GUTIERREZ Josue-Fernando:</t>
        </r>
        <r>
          <rPr>
            <sz val="9"/>
            <color indexed="81"/>
            <rFont val="Tahoma"/>
            <family val="2"/>
          </rPr>
          <t xml:space="preserve">
Donnée calculée par JF 
Liste des étudiants étrangères + Master, donnée par KOURNIK Narjis</t>
        </r>
      </text>
    </comment>
    <comment ref="K74" authorId="1" shapeId="0">
      <text>
        <r>
          <rPr>
            <b/>
            <sz val="9"/>
            <color indexed="81"/>
            <rFont val="Tahoma"/>
            <family val="2"/>
          </rPr>
          <t>FLORES-GUTIERREZ Josue-Fernando:</t>
        </r>
        <r>
          <rPr>
            <sz val="9"/>
            <color indexed="81"/>
            <rFont val="Tahoma"/>
            <family val="2"/>
          </rPr>
          <t xml:space="preserve">
Donnée calculée par JF 
Liste des étudiants étrangères + Master, donnée par KOURNIK Narjis</t>
        </r>
      </text>
    </comment>
    <comment ref="K75" authorId="1" shapeId="0">
      <text>
        <r>
          <rPr>
            <b/>
            <sz val="9"/>
            <color indexed="81"/>
            <rFont val="Tahoma"/>
            <family val="2"/>
          </rPr>
          <t>FLORES-GUTIERREZ Josue-Fernando:</t>
        </r>
        <r>
          <rPr>
            <sz val="9"/>
            <color indexed="81"/>
            <rFont val="Tahoma"/>
            <family val="2"/>
          </rPr>
          <t xml:space="preserve">
Donnée calculée par JF 
Liste des étudiants étrangères + Master, donnée par KOURNIK Narjis</t>
        </r>
      </text>
    </comment>
    <comment ref="K76" authorId="1" shapeId="0">
      <text>
        <r>
          <rPr>
            <b/>
            <sz val="9"/>
            <color indexed="81"/>
            <rFont val="Tahoma"/>
            <family val="2"/>
          </rPr>
          <t>FLORES-GUTIERREZ Josue-Fernando:</t>
        </r>
        <r>
          <rPr>
            <sz val="9"/>
            <color indexed="81"/>
            <rFont val="Tahoma"/>
            <family val="2"/>
          </rPr>
          <t xml:space="preserve">
Donnée calculée par JF 
Liste des étudiants étrangères + Master, donnée par KOURNIK Narjis</t>
        </r>
      </text>
    </comment>
    <comment ref="K77" authorId="1" shapeId="0">
      <text>
        <r>
          <rPr>
            <b/>
            <sz val="9"/>
            <color indexed="81"/>
            <rFont val="Tahoma"/>
            <family val="2"/>
          </rPr>
          <t>FLORES-GUTIERREZ Josue-Fernando:</t>
        </r>
        <r>
          <rPr>
            <sz val="9"/>
            <color indexed="81"/>
            <rFont val="Tahoma"/>
            <family val="2"/>
          </rPr>
          <t xml:space="preserve">
Donnée calculée par JF 
Liste des étudiants étrangères + Master, donnée par KOURNIK Narjis</t>
        </r>
      </text>
    </comment>
    <comment ref="K78" authorId="1" shapeId="0">
      <text>
        <r>
          <rPr>
            <b/>
            <sz val="9"/>
            <color indexed="81"/>
            <rFont val="Tahoma"/>
            <family val="2"/>
          </rPr>
          <t>FLORES-GUTIERREZ Josue-Fernando:</t>
        </r>
        <r>
          <rPr>
            <sz val="9"/>
            <color indexed="81"/>
            <rFont val="Tahoma"/>
            <family val="2"/>
          </rPr>
          <t xml:space="preserve">
Donnée calculée par JF 
Liste des étudiants étrangères + Master, donnée par KOURNIK Narjis</t>
        </r>
      </text>
    </comment>
    <comment ref="K79" authorId="1" shapeId="0">
      <text>
        <r>
          <rPr>
            <b/>
            <sz val="9"/>
            <color indexed="81"/>
            <rFont val="Tahoma"/>
            <family val="2"/>
          </rPr>
          <t>FLORES-GUTIERREZ Josue-Fernando:</t>
        </r>
        <r>
          <rPr>
            <sz val="9"/>
            <color indexed="81"/>
            <rFont val="Tahoma"/>
            <family val="2"/>
          </rPr>
          <t xml:space="preserve">
Donnée calculée par JF 
Liste des étudiants étrangères + Master, donnée par KOURNIK Narjis</t>
        </r>
      </text>
    </comment>
    <comment ref="K80" authorId="1" shapeId="0">
      <text>
        <r>
          <rPr>
            <b/>
            <sz val="9"/>
            <color indexed="81"/>
            <rFont val="Tahoma"/>
            <family val="2"/>
          </rPr>
          <t>FLORES-GUTIERREZ Josue-Fernando:</t>
        </r>
        <r>
          <rPr>
            <sz val="9"/>
            <color indexed="81"/>
            <rFont val="Tahoma"/>
            <family val="2"/>
          </rPr>
          <t xml:space="preserve">
Donnée calculée par JF 
Liste des étudiants étrangères + Master, donnée par KOURNIK Narjis</t>
        </r>
      </text>
    </comment>
    <comment ref="K81" authorId="1" shapeId="0">
      <text>
        <r>
          <rPr>
            <b/>
            <sz val="9"/>
            <color indexed="81"/>
            <rFont val="Tahoma"/>
            <family val="2"/>
          </rPr>
          <t>FLORES-GUTIERREZ Josue-Fernando:</t>
        </r>
        <r>
          <rPr>
            <sz val="9"/>
            <color indexed="81"/>
            <rFont val="Tahoma"/>
            <family val="2"/>
          </rPr>
          <t xml:space="preserve">
Donnée calculée par JF 
Liste des étudiants étrangères + Master, donnée par KOURNIK Narjis</t>
        </r>
      </text>
    </comment>
    <comment ref="K82" authorId="1" shapeId="0">
      <text>
        <r>
          <rPr>
            <b/>
            <sz val="9"/>
            <color indexed="81"/>
            <rFont val="Tahoma"/>
            <family val="2"/>
          </rPr>
          <t>FLORES-GUTIERREZ Josue-Fernando:</t>
        </r>
        <r>
          <rPr>
            <sz val="9"/>
            <color indexed="81"/>
            <rFont val="Tahoma"/>
            <family val="2"/>
          </rPr>
          <t xml:space="preserve">
Donnée calculée par JF 
Liste des étudiants étrangères + Master, donnée par KOURNIK Narjis</t>
        </r>
      </text>
    </comment>
    <comment ref="K83" authorId="1" shapeId="0">
      <text>
        <r>
          <rPr>
            <b/>
            <sz val="9"/>
            <color indexed="81"/>
            <rFont val="Tahoma"/>
            <family val="2"/>
          </rPr>
          <t>FLORES-GUTIERREZ Josue-Fernando:</t>
        </r>
        <r>
          <rPr>
            <sz val="9"/>
            <color indexed="81"/>
            <rFont val="Tahoma"/>
            <family val="2"/>
          </rPr>
          <t xml:space="preserve">
Donnée calculée par JF 
Liste des étudiants étrangères + Master, donnée par KOURNIK Narjis</t>
        </r>
      </text>
    </comment>
    <comment ref="K84" authorId="1" shapeId="0">
      <text>
        <r>
          <rPr>
            <b/>
            <sz val="9"/>
            <color indexed="81"/>
            <rFont val="Tahoma"/>
            <family val="2"/>
          </rPr>
          <t>FLORES-GUTIERREZ Josue-Fernando:</t>
        </r>
        <r>
          <rPr>
            <sz val="9"/>
            <color indexed="81"/>
            <rFont val="Tahoma"/>
            <family val="2"/>
          </rPr>
          <t xml:space="preserve">
Donnée calculée par JF 
Liste des étudiants étrangères + Master, donnée par KOURNIK Narjis</t>
        </r>
      </text>
    </comment>
    <comment ref="E85" authorId="2" shapeId="0">
      <text>
        <r>
          <rPr>
            <b/>
            <sz val="10"/>
            <color indexed="81"/>
            <rFont val="Tahoma"/>
            <family val="2"/>
          </rPr>
          <t xml:space="preserve">NG: </t>
        </r>
        <r>
          <rPr>
            <sz val="10"/>
            <color indexed="81"/>
            <rFont val="Tahoma"/>
            <family val="2"/>
          </rPr>
          <t xml:space="preserve">données sur les départs 2010/2011
</t>
        </r>
      </text>
    </comment>
    <comment ref="H85" authorId="0" shapeId="0">
      <text>
        <r>
          <rPr>
            <b/>
            <sz val="9"/>
            <color indexed="81"/>
            <rFont val="Tahoma"/>
            <family val="2"/>
          </rPr>
          <t>LETANG Kristell:</t>
        </r>
        <r>
          <rPr>
            <sz val="9"/>
            <color indexed="81"/>
            <rFont val="Tahoma"/>
            <family val="2"/>
          </rPr>
          <t xml:space="preserve">
données 2014/2015</t>
        </r>
      </text>
    </comment>
    <comment ref="K86" authorId="1" shapeId="0">
      <text>
        <r>
          <rPr>
            <b/>
            <sz val="9"/>
            <color indexed="81"/>
            <rFont val="Tahoma"/>
            <family val="2"/>
          </rPr>
          <t>FLORES-GUTIERREZ Josue-Fernando:</t>
        </r>
        <r>
          <rPr>
            <sz val="9"/>
            <color indexed="81"/>
            <rFont val="Tahoma"/>
            <family val="2"/>
          </rPr>
          <t xml:space="preserve">
Donnée calculée par JF 
Liste des séjours academiques à l'étrangère, donnée par GOUTIN-BOURLAT Elisabeth
+
Liste de mobilités academiques à Gardanne, donnée par GIESEN Maria</t>
        </r>
      </text>
    </comment>
    <comment ref="K87" authorId="1" shapeId="0">
      <text>
        <r>
          <rPr>
            <b/>
            <sz val="9"/>
            <color indexed="81"/>
            <rFont val="Tahoma"/>
            <family val="2"/>
          </rPr>
          <t>FLORES-GUTIERREZ Josue-Fernando:</t>
        </r>
        <r>
          <rPr>
            <sz val="9"/>
            <color indexed="81"/>
            <rFont val="Tahoma"/>
            <family val="2"/>
          </rPr>
          <t xml:space="preserve">
Donnée calculée par JF 
Liste des séjours academiques à l'étrangère, donnée par GOUTIN-BOURLAT Elisabeth
+
Liste de mobilités academiques à Gardanne, donnée par GIESEN Maria</t>
        </r>
      </text>
    </comment>
    <comment ref="K88" authorId="1" shapeId="0">
      <text>
        <r>
          <rPr>
            <b/>
            <sz val="9"/>
            <color indexed="81"/>
            <rFont val="Tahoma"/>
            <family val="2"/>
          </rPr>
          <t>FLORES-GUTIERREZ Josue-Fernando:</t>
        </r>
        <r>
          <rPr>
            <sz val="9"/>
            <color indexed="81"/>
            <rFont val="Tahoma"/>
            <family val="2"/>
          </rPr>
          <t xml:space="preserve">
Donnée calculée par JF 
Liste des séjours academiques à l'étrangère, donnée par GOUTIN-BOURLAT Elisabeth
+
Liste de mobilités academiques à Gardanne, donnée par GIESEN Maria</t>
        </r>
      </text>
    </comment>
    <comment ref="K89" authorId="1" shapeId="0">
      <text>
        <r>
          <rPr>
            <b/>
            <sz val="9"/>
            <color indexed="81"/>
            <rFont val="Tahoma"/>
            <family val="2"/>
          </rPr>
          <t>FLORES-GUTIERREZ Josue-Fernando:</t>
        </r>
        <r>
          <rPr>
            <sz val="9"/>
            <color indexed="81"/>
            <rFont val="Tahoma"/>
            <family val="2"/>
          </rPr>
          <t xml:space="preserve">
Donnée calculée par JF 
Liste des séjours academiques à l'étrangère, donnée par GOUTIN-BOURLAT Elisabeth
+
Liste de mobilités academiques à Gardanne, donnée par GIESEN Maria</t>
        </r>
      </text>
    </comment>
    <comment ref="K90" authorId="1" shapeId="0">
      <text>
        <r>
          <rPr>
            <b/>
            <sz val="9"/>
            <color indexed="81"/>
            <rFont val="Tahoma"/>
            <family val="2"/>
          </rPr>
          <t>FLORES-GUTIERREZ Josue-Fernando:</t>
        </r>
        <r>
          <rPr>
            <sz val="9"/>
            <color indexed="81"/>
            <rFont val="Tahoma"/>
            <family val="2"/>
          </rPr>
          <t xml:space="preserve">
Donnée calculée par JF 
Liste des séjours academiques à l'étrangère, donnée par GOUTIN-BOURLAT Elisabeth
+
Liste de mobilités academiques à Gardanne, donnée par GIESEN Maria</t>
        </r>
      </text>
    </comment>
    <comment ref="K91" authorId="1" shapeId="0">
      <text>
        <r>
          <rPr>
            <b/>
            <sz val="9"/>
            <color indexed="81"/>
            <rFont val="Tahoma"/>
            <family val="2"/>
          </rPr>
          <t>FLORES-GUTIERREZ Josue-Fernando:</t>
        </r>
        <r>
          <rPr>
            <sz val="9"/>
            <color indexed="81"/>
            <rFont val="Tahoma"/>
            <family val="2"/>
          </rPr>
          <t xml:space="preserve">
Donnée calculée par JF 
Liste des séjours academiques à l'étrangère, donnée par GOUTIN-BOURLAT Elisabeth
+
Liste de mobilités academiques à Gardanne, donnée par GIESEN Maria</t>
        </r>
      </text>
    </comment>
    <comment ref="K92" authorId="1" shapeId="0">
      <text>
        <r>
          <rPr>
            <b/>
            <sz val="9"/>
            <color indexed="81"/>
            <rFont val="Tahoma"/>
            <family val="2"/>
          </rPr>
          <t>FLORES-GUTIERREZ Josue-Fernando:</t>
        </r>
        <r>
          <rPr>
            <sz val="9"/>
            <color indexed="81"/>
            <rFont val="Tahoma"/>
            <family val="2"/>
          </rPr>
          <t xml:space="preserve">
Donnée calculée par JF 
Liste des séjours academiques à l'étrangère, donnée par GOUTIN-BOURLAT Elisabeth
+
Liste de mobilités academiques à Gardanne, donnée par GIESEN Maria</t>
        </r>
      </text>
    </comment>
    <comment ref="K93" authorId="1" shapeId="0">
      <text>
        <r>
          <rPr>
            <b/>
            <sz val="9"/>
            <color indexed="81"/>
            <rFont val="Tahoma"/>
            <family val="2"/>
          </rPr>
          <t>FLORES-GUTIERREZ Josue-Fernando:</t>
        </r>
        <r>
          <rPr>
            <sz val="9"/>
            <color indexed="81"/>
            <rFont val="Tahoma"/>
            <family val="2"/>
          </rPr>
          <t xml:space="preserve">
Donnée calculée par JF 
Liste des séjours academiques à l'étrangère, donnée par GOUTIN-BOURLAT Elisabeth
+
Liste de mobilités academiques à Gardanne, donnée par GIESEN Maria</t>
        </r>
      </text>
    </comment>
    <comment ref="K94" authorId="1" shapeId="0">
      <text>
        <r>
          <rPr>
            <b/>
            <sz val="9"/>
            <color indexed="81"/>
            <rFont val="Tahoma"/>
            <family val="2"/>
          </rPr>
          <t>FLORES-GUTIERREZ Josue-Fernando:</t>
        </r>
        <r>
          <rPr>
            <sz val="9"/>
            <color indexed="81"/>
            <rFont val="Tahoma"/>
            <family val="2"/>
          </rPr>
          <t xml:space="preserve">
Donnée calculée par JF 
Liste des séjours academiques à l'étrangère, donnée par GOUTIN-BOURLAT Elisabeth
+
Liste de mobilités academiques à Gardanne, donnée par GIESEN Maria</t>
        </r>
      </text>
    </comment>
    <comment ref="K95" authorId="1" shapeId="0">
      <text>
        <r>
          <rPr>
            <b/>
            <sz val="9"/>
            <color indexed="81"/>
            <rFont val="Tahoma"/>
            <family val="2"/>
          </rPr>
          <t>FLORES-GUTIERREZ Josue-Fernando:</t>
        </r>
        <r>
          <rPr>
            <sz val="9"/>
            <color indexed="81"/>
            <rFont val="Tahoma"/>
            <family val="2"/>
          </rPr>
          <t xml:space="preserve">
Donnée calculée par JF 
Liste des séjours academiques à l'étrangère, donnée par GOUTIN-BOURLAT Elisabeth
+
Liste de mobilités academiques à Gardanne, donnée par GIESEN Maria</t>
        </r>
      </text>
    </comment>
    <comment ref="K96" authorId="1" shapeId="0">
      <text>
        <r>
          <rPr>
            <b/>
            <sz val="9"/>
            <color indexed="81"/>
            <rFont val="Tahoma"/>
            <family val="2"/>
          </rPr>
          <t>FLORES-GUTIERREZ Josue-Fernando:</t>
        </r>
        <r>
          <rPr>
            <sz val="9"/>
            <color indexed="81"/>
            <rFont val="Tahoma"/>
            <family val="2"/>
          </rPr>
          <t xml:space="preserve">
Donnée calculée par JF 
Liste des séjours academiques à l'étrangère, donnée par GOUTIN-BOURLAT Elisabeth
+
Liste de mobilités academiques à Gardanne, donnée par GIESEN Maria</t>
        </r>
      </text>
    </comment>
    <comment ref="K97" authorId="1" shapeId="0">
      <text>
        <r>
          <rPr>
            <b/>
            <sz val="9"/>
            <color indexed="81"/>
            <rFont val="Tahoma"/>
            <family val="2"/>
          </rPr>
          <t>FLORES-GUTIERREZ Josue-Fernando:</t>
        </r>
        <r>
          <rPr>
            <sz val="9"/>
            <color indexed="81"/>
            <rFont val="Tahoma"/>
            <family val="2"/>
          </rPr>
          <t xml:space="preserve">
Donnée calculée par JF 
Liste des séjours academiques à l'étrangère, donnée par GOUTIN-BOURLAT Elisabeth
+
Liste de mobilités academiques à Gardanne, donnée par GIESEN Maria</t>
        </r>
      </text>
    </comment>
    <comment ref="E98" authorId="0" shapeId="0">
      <text>
        <r>
          <rPr>
            <b/>
            <sz val="9"/>
            <color indexed="81"/>
            <rFont val="Tahoma"/>
            <family val="2"/>
          </rPr>
          <t>LETANG Kristell:</t>
        </r>
        <r>
          <rPr>
            <sz val="9"/>
            <color indexed="81"/>
            <rFont val="Tahoma"/>
            <family val="2"/>
          </rPr>
          <t xml:space="preserve">
sur 121 départs</t>
        </r>
      </text>
    </comment>
    <comment ref="H98" authorId="0" shapeId="0">
      <text>
        <r>
          <rPr>
            <b/>
            <sz val="9"/>
            <color indexed="81"/>
            <rFont val="Tahoma"/>
            <family val="2"/>
          </rPr>
          <t>LETANG Kristell:</t>
        </r>
        <r>
          <rPr>
            <sz val="9"/>
            <color indexed="81"/>
            <rFont val="Tahoma"/>
            <family val="2"/>
          </rPr>
          <t xml:space="preserve">
sur 73 départs</t>
        </r>
      </text>
    </comment>
    <comment ref="K99" authorId="1" shapeId="0">
      <text>
        <r>
          <rPr>
            <b/>
            <sz val="9"/>
            <color indexed="81"/>
            <rFont val="Tahoma"/>
            <family val="2"/>
          </rPr>
          <t>FLORES-GUTIERREZ Josue-Fernando:</t>
        </r>
        <r>
          <rPr>
            <sz val="9"/>
            <color indexed="81"/>
            <rFont val="Tahoma"/>
            <family val="2"/>
          </rPr>
          <t xml:space="preserve">
Donnée calculée par JF 
Liste des stages 2017, donnée par DRAPIER Joséphine D2-02
+
Liste de stage nationaux a partir de Promethee faite par M, MOMM Axel</t>
        </r>
      </text>
    </comment>
    <comment ref="K100" authorId="1" shapeId="0">
      <text>
        <r>
          <rPr>
            <b/>
            <sz val="9"/>
            <color indexed="81"/>
            <rFont val="Tahoma"/>
            <family val="2"/>
          </rPr>
          <t>FLORES-GUTIERREZ Josue-Fernando:</t>
        </r>
        <r>
          <rPr>
            <sz val="9"/>
            <color indexed="81"/>
            <rFont val="Tahoma"/>
            <family val="2"/>
          </rPr>
          <t xml:space="preserve">
Donnée calculée par JF 
Liste des stages 2017, donnée par DRAPIER Joséphine D2-02
+
Liste de stage nationaux a partir de Promethee faite par M, MOMM Axel</t>
        </r>
      </text>
    </comment>
    <comment ref="K101" authorId="1" shapeId="0">
      <text>
        <r>
          <rPr>
            <b/>
            <sz val="9"/>
            <color indexed="81"/>
            <rFont val="Tahoma"/>
            <family val="2"/>
          </rPr>
          <t>FLORES-GUTIERREZ Josue-Fernando:</t>
        </r>
        <r>
          <rPr>
            <sz val="9"/>
            <color indexed="81"/>
            <rFont val="Tahoma"/>
            <family val="2"/>
          </rPr>
          <t xml:space="preserve">
Donnée calculée par JF 
Liste des stages 2017, donnée par DRAPIER Joséphine D2-02
+
Liste des stages  à Gardanne, donnée par GIESEN Maria</t>
        </r>
      </text>
    </comment>
    <comment ref="K102" authorId="1" shapeId="0">
      <text>
        <r>
          <rPr>
            <b/>
            <sz val="9"/>
            <color indexed="81"/>
            <rFont val="Tahoma"/>
            <family val="2"/>
          </rPr>
          <t>FLORES-GUTIERREZ Josue-Fernando:</t>
        </r>
        <r>
          <rPr>
            <sz val="9"/>
            <color indexed="81"/>
            <rFont val="Tahoma"/>
            <family val="2"/>
          </rPr>
          <t xml:space="preserve">
Donnée calculée par JF 
Liste des stages 2017, donnée par DRAPIER Joséphine D2-02
+
Liste des stages  à Gardanne, donnée par GIESEN Maria</t>
        </r>
      </text>
    </comment>
    <comment ref="K103" authorId="1" shapeId="0">
      <text>
        <r>
          <rPr>
            <b/>
            <sz val="9"/>
            <color indexed="81"/>
            <rFont val="Tahoma"/>
            <family val="2"/>
          </rPr>
          <t>FLORES-GUTIERREZ Josue-Fernando:</t>
        </r>
        <r>
          <rPr>
            <sz val="9"/>
            <color indexed="81"/>
            <rFont val="Tahoma"/>
            <family val="2"/>
          </rPr>
          <t xml:space="preserve">
Donnée calculée par JF 
Liste des stages 2017, donnée par DRAPIER Joséphine D2-02
+
Liste des stages  à Gardanne, donnée par GIESEN Maria</t>
        </r>
      </text>
    </comment>
    <comment ref="K104" authorId="1" shapeId="0">
      <text>
        <r>
          <rPr>
            <b/>
            <sz val="9"/>
            <color indexed="81"/>
            <rFont val="Tahoma"/>
            <family val="2"/>
          </rPr>
          <t>FLORES-GUTIERREZ Josue-Fernando:</t>
        </r>
        <r>
          <rPr>
            <sz val="9"/>
            <color indexed="81"/>
            <rFont val="Tahoma"/>
            <family val="2"/>
          </rPr>
          <t xml:space="preserve">
Donnée calculée par JF 
Liste des stages 2017, donnée par DRAPIER Joséphine D2-02
+
Liste des stages  à Gardanne, donnée par GIESEN Maria</t>
        </r>
      </text>
    </comment>
    <comment ref="K105" authorId="1" shapeId="0">
      <text>
        <r>
          <rPr>
            <b/>
            <sz val="9"/>
            <color indexed="81"/>
            <rFont val="Tahoma"/>
            <family val="2"/>
          </rPr>
          <t>FLORES-GUTIERREZ Josue-Fernando:</t>
        </r>
        <r>
          <rPr>
            <sz val="9"/>
            <color indexed="81"/>
            <rFont val="Tahoma"/>
            <family val="2"/>
          </rPr>
          <t xml:space="preserve">
Donnée calculée par JF 
Liste des stages 2017, donnée par DRAPIER Joséphine D2-02
+
Liste des stages  à Gardanne, donnée par GIESEN Maria</t>
        </r>
      </text>
    </comment>
    <comment ref="K106" authorId="1" shapeId="0">
      <text>
        <r>
          <rPr>
            <b/>
            <sz val="9"/>
            <color indexed="81"/>
            <rFont val="Tahoma"/>
            <family val="2"/>
          </rPr>
          <t>FLORES-GUTIERREZ Josue-Fernando:</t>
        </r>
        <r>
          <rPr>
            <sz val="9"/>
            <color indexed="81"/>
            <rFont val="Tahoma"/>
            <family val="2"/>
          </rPr>
          <t xml:space="preserve">
Donnée calculée par JF 
Liste des stages 2017, donnée par DRAPIER Joséphine D2-02
+
Liste des stages  à Gardanne, donnée par GIESEN Maria</t>
        </r>
      </text>
    </comment>
    <comment ref="K107" authorId="1" shapeId="0">
      <text>
        <r>
          <rPr>
            <b/>
            <sz val="9"/>
            <color indexed="81"/>
            <rFont val="Tahoma"/>
            <family val="2"/>
          </rPr>
          <t>FLORES-GUTIERREZ Josue-Fernando:</t>
        </r>
        <r>
          <rPr>
            <sz val="9"/>
            <color indexed="81"/>
            <rFont val="Tahoma"/>
            <family val="2"/>
          </rPr>
          <t xml:space="preserve">
Donnée calculée par JF 
Liste des stages 2017, donnée par DRAPIER Joséphine D2-02
+
Liste des stages  à Gardanne, donnée par GIESEN Maria</t>
        </r>
      </text>
    </comment>
    <comment ref="K108" authorId="1" shapeId="0">
      <text>
        <r>
          <rPr>
            <b/>
            <sz val="9"/>
            <color indexed="81"/>
            <rFont val="Tahoma"/>
            <family val="2"/>
          </rPr>
          <t>FLORES-GUTIERREZ Josue-Fernando:</t>
        </r>
        <r>
          <rPr>
            <sz val="9"/>
            <color indexed="81"/>
            <rFont val="Tahoma"/>
            <family val="2"/>
          </rPr>
          <t xml:space="preserve">
Donnée calculée par JF 
Liste des stages 2017, donnée par DRAPIER Joséphine D2-02
+
Liste des stages  à Gardanne, donnée par GIESEN Maria</t>
        </r>
      </text>
    </comment>
    <comment ref="K109" authorId="1" shapeId="0">
      <text>
        <r>
          <rPr>
            <b/>
            <sz val="9"/>
            <color indexed="81"/>
            <rFont val="Tahoma"/>
            <family val="2"/>
          </rPr>
          <t>FLORES-GUTIERREZ Josue-Fernando:</t>
        </r>
        <r>
          <rPr>
            <sz val="9"/>
            <color indexed="81"/>
            <rFont val="Tahoma"/>
            <family val="2"/>
          </rPr>
          <t xml:space="preserve">
Donnée calculée par JF 
Liste des stages 2017, donnée par DRAPIER Joséphine D2-02
+
Liste des stages  à Gardanne, donnée par GIESEN Maria</t>
        </r>
      </text>
    </comment>
    <comment ref="K110" authorId="1" shapeId="0">
      <text>
        <r>
          <rPr>
            <b/>
            <sz val="9"/>
            <color indexed="81"/>
            <rFont val="Tahoma"/>
            <family val="2"/>
          </rPr>
          <t>FLORES-GUTIERREZ Josue-Fernando:</t>
        </r>
        <r>
          <rPr>
            <sz val="9"/>
            <color indexed="81"/>
            <rFont val="Tahoma"/>
            <family val="2"/>
          </rPr>
          <t xml:space="preserve">
Donnée calculée par JF 
Liste des stages 2017, donnée par DRAPIER Joséphine D2-02
+
Liste des stages  à Gardanne, donnée par GIESEN Maria</t>
        </r>
      </text>
    </comment>
    <comment ref="K111" authorId="1" shapeId="0">
      <text>
        <r>
          <rPr>
            <b/>
            <sz val="9"/>
            <color indexed="81"/>
            <rFont val="Tahoma"/>
            <family val="2"/>
          </rPr>
          <t>FLORES-GUTIERREZ Josue-Fernando:</t>
        </r>
        <r>
          <rPr>
            <sz val="9"/>
            <color indexed="81"/>
            <rFont val="Tahoma"/>
            <family val="2"/>
          </rPr>
          <t xml:space="preserve">
Donnée calculée par JF 
Liste des stages 2017, donnée par DRAPIER Joséphine D2-02
+
Liste des stages  à Gardanne, donnée par GIESEN Maria</t>
        </r>
      </text>
    </comment>
    <comment ref="K112" authorId="1" shapeId="0">
      <text>
        <r>
          <rPr>
            <b/>
            <sz val="9"/>
            <color indexed="81"/>
            <rFont val="Tahoma"/>
            <family val="2"/>
          </rPr>
          <t>FLORES-GUTIERREZ Josue-Fernando:</t>
        </r>
        <r>
          <rPr>
            <sz val="9"/>
            <color indexed="81"/>
            <rFont val="Tahoma"/>
            <family val="2"/>
          </rPr>
          <t xml:space="preserve">
Donnée calculée par JF 
Liste des stages 2017, donnée par DRAPIER Joséphine D2-02</t>
        </r>
      </text>
    </comment>
    <comment ref="K113" authorId="1" shapeId="0">
      <text>
        <r>
          <rPr>
            <b/>
            <sz val="9"/>
            <color indexed="81"/>
            <rFont val="Tahoma"/>
            <family val="2"/>
          </rPr>
          <t>FLORES-GUTIERREZ Josue-Fernando:</t>
        </r>
        <r>
          <rPr>
            <sz val="9"/>
            <color indexed="81"/>
            <rFont val="Tahoma"/>
            <family val="2"/>
          </rPr>
          <t xml:space="preserve">
Source: Servgen/ Secretariat/ SPSI/ Propiete Immobil EMSE 2013 10
*Ne pas pris l'amortisemment ni la superficie des anciens batiments (158 CF°
CIS = 5392 m2 SHON   Gardane 21083 m2 SHON
Hypothese: chaque batiment possede un amortissement de 50 ans
Donc: (5392+21083)/50 = 529,5 m2 SHON</t>
        </r>
      </text>
    </comment>
  </commentList>
</comments>
</file>

<file path=xl/comments2.xml><?xml version="1.0" encoding="utf-8"?>
<comments xmlns="http://schemas.openxmlformats.org/spreadsheetml/2006/main">
  <authors>
    <author>FLORES-GUTIERREZ Josue-Fernando</author>
    <author>LETANG Kristell</author>
    <author>relecteur</author>
  </authors>
  <commentList>
    <comment ref="J4" authorId="0" shapeId="0">
      <text>
        <r>
          <rPr>
            <b/>
            <sz val="9"/>
            <color indexed="81"/>
            <rFont val="Tahoma"/>
            <family val="2"/>
          </rPr>
          <t>FLORES-GUTIERREZ Josue-Fernando:</t>
        </r>
        <r>
          <rPr>
            <sz val="9"/>
            <color indexed="81"/>
            <rFont val="Tahoma"/>
            <family val="2"/>
          </rPr>
          <t xml:space="preserve">
Nom1: HFC23
Nom2: R23
Nom3: CHF3</t>
        </r>
      </text>
    </comment>
    <comment ref="G6" authorId="1" shapeId="0">
      <text>
        <r>
          <rPr>
            <b/>
            <sz val="9"/>
            <color indexed="81"/>
            <rFont val="Tahoma"/>
            <family val="2"/>
          </rPr>
          <t>LETANG Kristell:</t>
        </r>
        <r>
          <rPr>
            <sz val="9"/>
            <color indexed="81"/>
            <rFont val="Tahoma"/>
            <family val="2"/>
          </rPr>
          <t xml:space="preserve">
Issu de la base carbone</t>
        </r>
      </text>
    </comment>
    <comment ref="H6" authorId="1" shapeId="0">
      <text>
        <r>
          <rPr>
            <b/>
            <sz val="9"/>
            <color indexed="81"/>
            <rFont val="Tahoma"/>
            <family val="2"/>
          </rPr>
          <t>LETANG Kristell:</t>
        </r>
        <r>
          <rPr>
            <sz val="9"/>
            <color indexed="81"/>
            <rFont val="Tahoma"/>
            <family val="2"/>
          </rPr>
          <t xml:space="preserve">
Issu de la base carbone</t>
        </r>
      </text>
    </comment>
    <comment ref="I6" authorId="1" shapeId="0">
      <text>
        <r>
          <rPr>
            <b/>
            <sz val="9"/>
            <color indexed="81"/>
            <rFont val="Tahoma"/>
            <family val="2"/>
          </rPr>
          <t>LETANG Kristell:</t>
        </r>
        <r>
          <rPr>
            <sz val="9"/>
            <color indexed="81"/>
            <rFont val="Tahoma"/>
            <family val="2"/>
          </rPr>
          <t xml:space="preserve">
Issu de la base carbone</t>
        </r>
      </text>
    </comment>
    <comment ref="J6" authorId="1" shapeId="0">
      <text>
        <r>
          <rPr>
            <b/>
            <sz val="9"/>
            <color indexed="81"/>
            <rFont val="Tahoma"/>
            <family val="2"/>
          </rPr>
          <t>LETANG Kristell:</t>
        </r>
        <r>
          <rPr>
            <sz val="9"/>
            <color indexed="81"/>
            <rFont val="Tahoma"/>
            <family val="2"/>
          </rPr>
          <t xml:space="preserve">
Issu de la Base Carbone (tableau des principaux PRG à 100 ans)</t>
        </r>
      </text>
    </comment>
    <comment ref="K6" authorId="1" shapeId="0">
      <text>
        <r>
          <rPr>
            <b/>
            <sz val="9"/>
            <color indexed="81"/>
            <rFont val="Tahoma"/>
            <family val="2"/>
          </rPr>
          <t>LETANG Kristell:</t>
        </r>
        <r>
          <rPr>
            <sz val="9"/>
            <color indexed="81"/>
            <rFont val="Tahoma"/>
            <family val="2"/>
          </rPr>
          <t xml:space="preserve">
Issu de la base carbone</t>
        </r>
      </text>
    </comment>
    <comment ref="R6" authorId="1" shapeId="0">
      <text>
        <r>
          <rPr>
            <b/>
            <sz val="9"/>
            <color indexed="81"/>
            <rFont val="Tahoma"/>
            <family val="2"/>
          </rPr>
          <t>LETANG Kristell:</t>
        </r>
        <r>
          <rPr>
            <sz val="9"/>
            <color indexed="81"/>
            <rFont val="Tahoma"/>
            <family val="2"/>
          </rPr>
          <t xml:space="preserve">
Issu de la base carbone</t>
        </r>
      </text>
    </comment>
    <comment ref="S6" authorId="1" shapeId="0">
      <text>
        <r>
          <rPr>
            <b/>
            <sz val="9"/>
            <color indexed="81"/>
            <rFont val="Tahoma"/>
            <family val="2"/>
          </rPr>
          <t>LETANG Kristell:</t>
        </r>
        <r>
          <rPr>
            <sz val="9"/>
            <color indexed="81"/>
            <rFont val="Tahoma"/>
            <family val="2"/>
          </rPr>
          <t xml:space="preserve">
Issu de la base carbone</t>
        </r>
      </text>
    </comment>
    <comment ref="T6" authorId="1" shapeId="0">
      <text>
        <r>
          <rPr>
            <b/>
            <sz val="9"/>
            <color indexed="81"/>
            <rFont val="Tahoma"/>
            <family val="2"/>
          </rPr>
          <t>LETANG Kristell:</t>
        </r>
        <r>
          <rPr>
            <sz val="9"/>
            <color indexed="81"/>
            <rFont val="Tahoma"/>
            <family val="2"/>
          </rPr>
          <t xml:space="preserve">
Issu de la base carbone</t>
        </r>
      </text>
    </comment>
    <comment ref="U6" authorId="1" shapeId="0">
      <text>
        <r>
          <rPr>
            <b/>
            <sz val="9"/>
            <color indexed="81"/>
            <rFont val="Tahoma"/>
            <family val="2"/>
          </rPr>
          <t>LETANG Kristell:</t>
        </r>
        <r>
          <rPr>
            <sz val="9"/>
            <color indexed="81"/>
            <rFont val="Tahoma"/>
            <family val="2"/>
          </rPr>
          <t xml:space="preserve">
Issu de la Base Carbone (tableau des principaux PRG à 100 ans)</t>
        </r>
      </text>
    </comment>
    <comment ref="V6" authorId="1" shapeId="0">
      <text>
        <r>
          <rPr>
            <b/>
            <sz val="9"/>
            <color indexed="81"/>
            <rFont val="Tahoma"/>
            <family val="2"/>
          </rPr>
          <t>LETANG Kristell:</t>
        </r>
        <r>
          <rPr>
            <sz val="9"/>
            <color indexed="81"/>
            <rFont val="Tahoma"/>
            <family val="2"/>
          </rPr>
          <t xml:space="preserve">
Issu de la base carbone</t>
        </r>
      </text>
    </comment>
    <comment ref="AC6" authorId="1" shapeId="0">
      <text>
        <r>
          <rPr>
            <b/>
            <sz val="9"/>
            <color indexed="81"/>
            <rFont val="Tahoma"/>
            <family val="2"/>
          </rPr>
          <t>LETANG Kristell:</t>
        </r>
        <r>
          <rPr>
            <sz val="9"/>
            <color indexed="81"/>
            <rFont val="Tahoma"/>
            <family val="2"/>
          </rPr>
          <t xml:space="preserve">
Issu de la base carbone</t>
        </r>
      </text>
    </comment>
    <comment ref="AD6" authorId="1" shapeId="0">
      <text>
        <r>
          <rPr>
            <b/>
            <sz val="9"/>
            <color indexed="81"/>
            <rFont val="Tahoma"/>
            <family val="2"/>
          </rPr>
          <t>LETANG Kristell:</t>
        </r>
        <r>
          <rPr>
            <sz val="9"/>
            <color indexed="81"/>
            <rFont val="Tahoma"/>
            <family val="2"/>
          </rPr>
          <t xml:space="preserve">
Issu de la base carbone</t>
        </r>
      </text>
    </comment>
    <comment ref="AE6" authorId="1" shapeId="0">
      <text>
        <r>
          <rPr>
            <b/>
            <sz val="9"/>
            <color indexed="81"/>
            <rFont val="Tahoma"/>
            <family val="2"/>
          </rPr>
          <t>LETANG Kristell:</t>
        </r>
        <r>
          <rPr>
            <sz val="9"/>
            <color indexed="81"/>
            <rFont val="Tahoma"/>
            <family val="2"/>
          </rPr>
          <t xml:space="preserve">
Issu de la base carbone</t>
        </r>
      </text>
    </comment>
    <comment ref="AF6" authorId="1" shapeId="0">
      <text>
        <r>
          <rPr>
            <b/>
            <sz val="9"/>
            <color indexed="81"/>
            <rFont val="Tahoma"/>
            <family val="2"/>
          </rPr>
          <t>LETANG Kristell:</t>
        </r>
        <r>
          <rPr>
            <sz val="9"/>
            <color indexed="81"/>
            <rFont val="Tahoma"/>
            <family val="2"/>
          </rPr>
          <t xml:space="preserve">
Issu de la Base Carbone (tableau des principaux PRG à 100 ans)</t>
        </r>
      </text>
    </comment>
    <comment ref="AG6" authorId="1" shapeId="0">
      <text>
        <r>
          <rPr>
            <b/>
            <sz val="9"/>
            <color indexed="81"/>
            <rFont val="Tahoma"/>
            <family val="2"/>
          </rPr>
          <t>LETANG Kristell:</t>
        </r>
        <r>
          <rPr>
            <sz val="9"/>
            <color indexed="81"/>
            <rFont val="Tahoma"/>
            <family val="2"/>
          </rPr>
          <t xml:space="preserve">
Issu de la base carbone</t>
        </r>
      </text>
    </comment>
    <comment ref="G7" authorId="0" shapeId="0">
      <text>
        <r>
          <rPr>
            <b/>
            <sz val="9"/>
            <color indexed="81"/>
            <rFont val="Tahoma"/>
            <family val="2"/>
          </rPr>
          <t>FLORES-GUTIERREZ Josue-Fernando:</t>
        </r>
        <r>
          <rPr>
            <sz val="9"/>
            <color indexed="81"/>
            <rFont val="Tahoma"/>
            <family val="2"/>
          </rPr>
          <t xml:space="preserve">
Source: Base Carbone ADEME
PRG/ PRG à 100 ans du 5èmè rapport du GEIC/ Principaux gaz à effet de serre(CO2, CH4 et NO2)</t>
        </r>
      </text>
    </comment>
    <comment ref="H7" authorId="0" shapeId="0">
      <text>
        <r>
          <rPr>
            <b/>
            <sz val="9"/>
            <color indexed="81"/>
            <rFont val="Tahoma"/>
            <family val="2"/>
          </rPr>
          <t>FLORES-GUTIERREZ Josue-Fernando:</t>
        </r>
        <r>
          <rPr>
            <sz val="9"/>
            <color indexed="81"/>
            <rFont val="Tahoma"/>
            <family val="2"/>
          </rPr>
          <t xml:space="preserve">
Source: Base Carbone ADEME
PRG/ PRG à 100 ans du 5èmè rapport du GEIC/ Principaux gaz à effet de serre(CO2, CH4 et NO2)</t>
        </r>
      </text>
    </comment>
    <comment ref="I7" authorId="0" shapeId="0">
      <text>
        <r>
          <rPr>
            <b/>
            <sz val="9"/>
            <color indexed="81"/>
            <rFont val="Tahoma"/>
            <family val="2"/>
          </rPr>
          <t>FLORES-GUTIERREZ Josue-Fernando:</t>
        </r>
        <r>
          <rPr>
            <sz val="9"/>
            <color indexed="81"/>
            <rFont val="Tahoma"/>
            <family val="2"/>
          </rPr>
          <t xml:space="preserve">
Source: Base Carbone ADEME
PRG/ PRG à 100 ans du 5èmè rapport du GEIC/ Principaux gaz à effet de serre(CO2, CH4 et NO2)</t>
        </r>
      </text>
    </comment>
    <comment ref="J7" authorId="0" shapeId="0">
      <text>
        <r>
          <rPr>
            <b/>
            <sz val="9"/>
            <color indexed="81"/>
            <rFont val="Tahoma"/>
            <family val="2"/>
          </rPr>
          <t>FLORES-GUTIERREZ Josue-Fernando:</t>
        </r>
        <r>
          <rPr>
            <sz val="9"/>
            <color indexed="81"/>
            <rFont val="Tahoma"/>
            <family val="2"/>
          </rPr>
          <t xml:space="preserve">
Source: Base Carbone ADEME
PRG/ PRG à 100 ans du 5èmè rapport du GEIC/ Principaux gaz à effet de serre fluorés/ R23 -PRG à 100 ans</t>
        </r>
      </text>
    </comment>
    <comment ref="K7" authorId="0" shapeId="0">
      <text>
        <r>
          <rPr>
            <b/>
            <sz val="9"/>
            <color indexed="81"/>
            <rFont val="Tahoma"/>
            <family val="2"/>
          </rPr>
          <t>FLORES-GUTIERREZ Josue-Fernando:</t>
        </r>
        <r>
          <rPr>
            <sz val="9"/>
            <color indexed="81"/>
            <rFont val="Tahoma"/>
            <family val="2"/>
          </rPr>
          <t xml:space="preserve">
Source: Base Carbone ADEME
PRG/ PRG à 100 ans du 5èmè rapport du GEIC/ Principaux gaz à effet de serre fluorés</t>
        </r>
      </text>
    </comment>
    <comment ref="R7" authorId="0" shapeId="0">
      <text>
        <r>
          <rPr>
            <b/>
            <sz val="9"/>
            <color indexed="81"/>
            <rFont val="Tahoma"/>
            <family val="2"/>
          </rPr>
          <t>FLORES-GUTIERREZ Josue-Fernando:</t>
        </r>
        <r>
          <rPr>
            <sz val="9"/>
            <color indexed="81"/>
            <rFont val="Tahoma"/>
            <family val="2"/>
          </rPr>
          <t xml:space="preserve">
Source: Base Carbone ADEME
PRG/ PRG à 100 ans du 5èmè rapport du GEIC/ Principaux gaz à effet de serre(CO2, CH4 et NO2)</t>
        </r>
      </text>
    </comment>
    <comment ref="S7" authorId="0" shapeId="0">
      <text>
        <r>
          <rPr>
            <b/>
            <sz val="9"/>
            <color indexed="81"/>
            <rFont val="Tahoma"/>
            <family val="2"/>
          </rPr>
          <t>FLORES-GUTIERREZ Josue-Fernando:</t>
        </r>
        <r>
          <rPr>
            <sz val="9"/>
            <color indexed="81"/>
            <rFont val="Tahoma"/>
            <family val="2"/>
          </rPr>
          <t xml:space="preserve">
Source: Base Carbone ADEME
PRG/ PRG à 100 ans du 5èmè rapport du GEIC/ Principaux gaz à effet de serre(CO2, CH4 et NO2)</t>
        </r>
      </text>
    </comment>
    <comment ref="T7" authorId="0" shapeId="0">
      <text>
        <r>
          <rPr>
            <b/>
            <sz val="9"/>
            <color indexed="81"/>
            <rFont val="Tahoma"/>
            <family val="2"/>
          </rPr>
          <t>FLORES-GUTIERREZ Josue-Fernando:</t>
        </r>
        <r>
          <rPr>
            <sz val="9"/>
            <color indexed="81"/>
            <rFont val="Tahoma"/>
            <family val="2"/>
          </rPr>
          <t xml:space="preserve">
Source: Base Carbone ADEME
PRG/ PRG à 100 ans du 5èmè rapport du GEIC/ Principaux gaz à effet de serre(CO2, CH4 et NO2)</t>
        </r>
      </text>
    </comment>
    <comment ref="U7" authorId="0" shapeId="0">
      <text>
        <r>
          <rPr>
            <b/>
            <sz val="9"/>
            <color indexed="81"/>
            <rFont val="Tahoma"/>
            <family val="2"/>
          </rPr>
          <t>FLORES-GUTIERREZ Josue-Fernando:</t>
        </r>
        <r>
          <rPr>
            <sz val="9"/>
            <color indexed="81"/>
            <rFont val="Tahoma"/>
            <family val="2"/>
          </rPr>
          <t xml:space="preserve">
Source: Base Carbone ADEME
PRG/ PRG à 100 ans du 5èmè rapport du GEIC/ Principaux gaz à effet de serre fluorés/ R23 -PRG à 100 ans</t>
        </r>
      </text>
    </comment>
    <comment ref="V7" authorId="0" shapeId="0">
      <text>
        <r>
          <rPr>
            <b/>
            <sz val="9"/>
            <color indexed="81"/>
            <rFont val="Tahoma"/>
            <family val="2"/>
          </rPr>
          <t>FLORES-GUTIERREZ Josue-Fernando:</t>
        </r>
        <r>
          <rPr>
            <sz val="9"/>
            <color indexed="81"/>
            <rFont val="Tahoma"/>
            <family val="2"/>
          </rPr>
          <t xml:space="preserve">
Source: Base Carbone ADEME
PRG/ PRG à 100 ans du 5èmè rapport du GEIC/ Principaux gaz à effet de serre fluorés</t>
        </r>
      </text>
    </comment>
    <comment ref="AC7" authorId="0" shapeId="0">
      <text>
        <r>
          <rPr>
            <b/>
            <sz val="9"/>
            <color indexed="81"/>
            <rFont val="Tahoma"/>
            <family val="2"/>
          </rPr>
          <t>FLORES-GUTIERREZ Josue-Fernando:</t>
        </r>
        <r>
          <rPr>
            <sz val="9"/>
            <color indexed="81"/>
            <rFont val="Tahoma"/>
            <family val="2"/>
          </rPr>
          <t xml:space="preserve">
Source: Base Carbone ADEME
PRG/ PRG à 100 ans du 5èmè rapport du GEIC/ Principaux gaz à effet de serre(CO2, CH4 et NO2)</t>
        </r>
      </text>
    </comment>
    <comment ref="AD7" authorId="0" shapeId="0">
      <text>
        <r>
          <rPr>
            <b/>
            <sz val="9"/>
            <color indexed="81"/>
            <rFont val="Tahoma"/>
            <family val="2"/>
          </rPr>
          <t>FLORES-GUTIERREZ Josue-Fernando:</t>
        </r>
        <r>
          <rPr>
            <sz val="9"/>
            <color indexed="81"/>
            <rFont val="Tahoma"/>
            <family val="2"/>
          </rPr>
          <t xml:space="preserve">
Source: Base Carbone ADEME
PRG/ PRG à 100 ans du 5èmè rapport du GEIC/ Principaux gaz à effet de serre(CO2, CH4 et NO2)</t>
        </r>
      </text>
    </comment>
    <comment ref="AE7" authorId="0" shapeId="0">
      <text>
        <r>
          <rPr>
            <b/>
            <sz val="9"/>
            <color indexed="81"/>
            <rFont val="Tahoma"/>
            <family val="2"/>
          </rPr>
          <t>FLORES-GUTIERREZ Josue-Fernando:</t>
        </r>
        <r>
          <rPr>
            <sz val="9"/>
            <color indexed="81"/>
            <rFont val="Tahoma"/>
            <family val="2"/>
          </rPr>
          <t xml:space="preserve">
Source: Base Carbone ADEME
PRG/ PRG à 100 ans du 5èmè rapport du GEIC/ Principaux gaz à effet de serre(CO2, CH4 et NO2)</t>
        </r>
      </text>
    </comment>
    <comment ref="AF7" authorId="0" shapeId="0">
      <text>
        <r>
          <rPr>
            <b/>
            <sz val="9"/>
            <color indexed="81"/>
            <rFont val="Tahoma"/>
            <family val="2"/>
          </rPr>
          <t>FLORES-GUTIERREZ Josue-Fernando:</t>
        </r>
        <r>
          <rPr>
            <sz val="9"/>
            <color indexed="81"/>
            <rFont val="Tahoma"/>
            <family val="2"/>
          </rPr>
          <t xml:space="preserve">
Source: Base Carbone ADEME
PRG/ PRG à 100 ans du 5èmè rapport du GEIC/ Principaux gaz à effet de serre fluorés/ R23 -PRG à 100 ans</t>
        </r>
      </text>
    </comment>
    <comment ref="AG7" authorId="0" shapeId="0">
      <text>
        <r>
          <rPr>
            <b/>
            <sz val="9"/>
            <color indexed="81"/>
            <rFont val="Tahoma"/>
            <family val="2"/>
          </rPr>
          <t>FLORES-GUTIERREZ Josue-Fernando:</t>
        </r>
        <r>
          <rPr>
            <sz val="9"/>
            <color indexed="81"/>
            <rFont val="Tahoma"/>
            <family val="2"/>
          </rPr>
          <t xml:space="preserve">
Source: Base Carbone ADEME
PRG/ PRG à 100 ans du 5èmè rapport du GEIC/ Principaux gaz à effet de serre fluorés</t>
        </r>
      </text>
    </comment>
    <comment ref="E8" authorId="2" shapeId="0">
      <text>
        <r>
          <rPr>
            <b/>
            <sz val="10"/>
            <color indexed="81"/>
            <rFont val="Tahoma"/>
            <family val="2"/>
          </rPr>
          <t xml:space="preserve">NG: </t>
        </r>
        <r>
          <rPr>
            <sz val="10"/>
            <color indexed="81"/>
            <rFont val="Tahoma"/>
            <family val="2"/>
          </rPr>
          <t xml:space="preserve">source : base carbone (amont + combustion) - facteur amont issu de la méthode Bilan Carbone V6 car erreur dans la facteur d'émission amont de la base carbone)
Division par 1,11 car facture GDF exprimée en PCS et coefficient d'émission méthode carboe exprimé en PCI </t>
        </r>
      </text>
    </comment>
    <comment ref="F8" authorId="0" shapeId="0">
      <text>
        <r>
          <rPr>
            <b/>
            <sz val="9"/>
            <color indexed="81"/>
            <rFont val="Tahoma"/>
            <family val="2"/>
          </rPr>
          <t xml:space="preserve">FLORES-GUTIERREZ Josue-Fernando:
0,219 kgCO2e/kWh PCS dont la combustion fait 0,185 kgCO2e/kWh PCS
</t>
        </r>
        <r>
          <rPr>
            <sz val="9"/>
            <color indexed="81"/>
            <rFont val="Tahoma"/>
            <family val="2"/>
          </rPr>
          <t xml:space="preserve">Divisé par 1000 pour le rendre en tonnes
Source: Base Carbone ADEME
Scope1/ Combustibles/ Fossiles/ Gazeux/ Gaz naturel
</t>
        </r>
      </text>
    </comment>
    <comment ref="M8" authorId="0" shapeId="0">
      <text>
        <r>
          <rPr>
            <b/>
            <sz val="9"/>
            <color indexed="81"/>
            <rFont val="Tahoma"/>
            <family val="2"/>
          </rPr>
          <t>FLORES-GUTIERREZ Josue-Fernando:</t>
        </r>
        <r>
          <rPr>
            <sz val="9"/>
            <color indexed="81"/>
            <rFont val="Tahoma"/>
            <family val="2"/>
          </rPr>
          <t xml:space="preserve">
5,00 % 
Source: Base Carbone ADEME
Scope1/ Combustibles/ Fossiles/ Gazeux/ Gaz naturel/ Afficher détails
</t>
        </r>
      </text>
    </comment>
    <comment ref="P8" authorId="1" shapeId="0">
      <text>
        <r>
          <rPr>
            <b/>
            <sz val="9"/>
            <color indexed="81"/>
            <rFont val="Tahoma"/>
            <family val="2"/>
          </rPr>
          <t>LETANG Kristell:</t>
        </r>
        <r>
          <rPr>
            <sz val="9"/>
            <color indexed="81"/>
            <rFont val="Tahoma"/>
            <family val="2"/>
          </rPr>
          <t xml:space="preserve">
KgCO2e/Kwh PCS
prend en compte que la combustion
Divisé par 1000 pour obtenir des tonnes</t>
        </r>
      </text>
    </comment>
    <comment ref="Q8" authorId="0" shapeId="0">
      <text>
        <r>
          <rPr>
            <b/>
            <sz val="9"/>
            <color indexed="81"/>
            <rFont val="Tahoma"/>
            <family val="2"/>
          </rPr>
          <t xml:space="preserve">FLORES-GUTIERREZ Josue-Fernando:
0,219 kgCO2e/kWh PCS dont la combustion fait 0,185 kgCO2e/kWh PCS
</t>
        </r>
        <r>
          <rPr>
            <sz val="9"/>
            <color indexed="81"/>
            <rFont val="Tahoma"/>
            <family val="2"/>
          </rPr>
          <t xml:space="preserve">Divisé par 1000 pour le rendre en tonnes
Source: Base Carbone ADEME
Scope1/ Combustibles/ Fossiles/ Gazeux/ Gaz naturel
</t>
        </r>
      </text>
    </comment>
    <comment ref="Y8" authorId="0" shapeId="0">
      <text>
        <r>
          <rPr>
            <b/>
            <sz val="9"/>
            <color indexed="81"/>
            <rFont val="Tahoma"/>
            <family val="2"/>
          </rPr>
          <t>FLORES-GUTIERREZ Josue-Fernando:</t>
        </r>
        <r>
          <rPr>
            <sz val="9"/>
            <color indexed="81"/>
            <rFont val="Tahoma"/>
            <family val="2"/>
          </rPr>
          <t xml:space="preserve">
5,00 % 
Source: Base Carbone ADEME
Scope1/ Combustibles/ Fossiles/ Gazeux/ Gaz naturel/ Afficher détails
</t>
        </r>
      </text>
    </comment>
    <comment ref="AB8" authorId="0" shapeId="0">
      <text>
        <r>
          <rPr>
            <b/>
            <sz val="9"/>
            <color indexed="81"/>
            <rFont val="Tahoma"/>
            <family val="2"/>
          </rPr>
          <t xml:space="preserve">FLORES-GUTIERREZ Josue-Fernando:
0,219 kgCO2e/kWh PCS dont la combustion fait 0,185 kgCO2e/kWh PCS
</t>
        </r>
        <r>
          <rPr>
            <sz val="9"/>
            <color indexed="81"/>
            <rFont val="Tahoma"/>
            <family val="2"/>
          </rPr>
          <t xml:space="preserve">Divisé par 1000 pour le rendre en tonnes
Source: Base Carbone ADEME
Scope1/ Combustibles/ Fossiles/ Gazeux/ Gaz naturel
</t>
        </r>
      </text>
    </comment>
    <comment ref="AJ8" authorId="0" shapeId="0">
      <text>
        <r>
          <rPr>
            <b/>
            <sz val="9"/>
            <color indexed="81"/>
            <rFont val="Tahoma"/>
            <family val="2"/>
          </rPr>
          <t>FLORES-GUTIERREZ Josue-Fernando:</t>
        </r>
        <r>
          <rPr>
            <sz val="9"/>
            <color indexed="81"/>
            <rFont val="Tahoma"/>
            <family val="2"/>
          </rPr>
          <t xml:space="preserve">
5,00 % 
Source: Base Carbone ADEME
Scope1/ Combustibles/ Fossiles/ Gazeux/ Gaz naturel/ Afficher détails
</t>
        </r>
      </text>
    </comment>
    <comment ref="E9" authorId="2" shapeId="0">
      <text>
        <r>
          <rPr>
            <b/>
            <sz val="10"/>
            <color indexed="81"/>
            <rFont val="Tahoma"/>
            <family val="2"/>
          </rPr>
          <t xml:space="preserve">NG: </t>
        </r>
        <r>
          <rPr>
            <sz val="10"/>
            <color indexed="81"/>
            <rFont val="Tahoma"/>
            <family val="2"/>
          </rPr>
          <t>source : base carbone (amont + combustion) - facteur amont issu de la mathode Bilan Carbone V6 car erreur dans la facteur d'émission amont de la base carbone)</t>
        </r>
      </text>
    </comment>
    <comment ref="F9" authorId="0" shapeId="0">
      <text>
        <r>
          <rPr>
            <b/>
            <sz val="9"/>
            <color indexed="81"/>
            <rFont val="Tahoma"/>
            <family val="2"/>
          </rPr>
          <t xml:space="preserve">FLORES-GUTIERREZ Josue-Fernando:
0,219 kgCO2e/kWh PCS dont la combustion fait 0,185 kgCO2e/kWh PCS
</t>
        </r>
        <r>
          <rPr>
            <sz val="9"/>
            <color indexed="81"/>
            <rFont val="Tahoma"/>
            <family val="2"/>
          </rPr>
          <t xml:space="preserve">Divisé par 1000 pour le rendre en tonnes
Source: Base Carbone ADEME
Scope1/ Combustibles/ Fossiles/ Gazeux/ Gaz naturel
</t>
        </r>
      </text>
    </comment>
    <comment ref="M9" authorId="0" shapeId="0">
      <text>
        <r>
          <rPr>
            <b/>
            <sz val="9"/>
            <color indexed="81"/>
            <rFont val="Tahoma"/>
            <family val="2"/>
          </rPr>
          <t>FLORES-GUTIERREZ Josue-Fernando:</t>
        </r>
        <r>
          <rPr>
            <sz val="9"/>
            <color indexed="81"/>
            <rFont val="Tahoma"/>
            <family val="2"/>
          </rPr>
          <t xml:space="preserve">
5,00 % 
Source: Base Carbone ADEME
Scope1/ Combustibles/ Fossiles/ Gazeux/ Gaz naturel/ Afficher détails
</t>
        </r>
      </text>
    </comment>
    <comment ref="P9" authorId="1" shapeId="0">
      <text>
        <r>
          <rPr>
            <b/>
            <sz val="9"/>
            <color indexed="81"/>
            <rFont val="Tahoma"/>
            <family val="2"/>
          </rPr>
          <t>LETANG Kristell:</t>
        </r>
        <r>
          <rPr>
            <sz val="9"/>
            <color indexed="81"/>
            <rFont val="Tahoma"/>
            <family val="2"/>
          </rPr>
          <t xml:space="preserve">
KgCO2e/Kwh PCS
Prend en compte que la combustion
Divisé par 1000 pour obtenir des tonnes</t>
        </r>
      </text>
    </comment>
    <comment ref="Q9" authorId="0" shapeId="0">
      <text>
        <r>
          <rPr>
            <b/>
            <sz val="9"/>
            <color indexed="81"/>
            <rFont val="Tahoma"/>
            <family val="2"/>
          </rPr>
          <t xml:space="preserve">FLORES-GUTIERREZ Josue-Fernando:
0,219 kgCO2e/kWh PCS dont la combustion fait 0,185 kgCO2e/kWh PCS
</t>
        </r>
        <r>
          <rPr>
            <sz val="9"/>
            <color indexed="81"/>
            <rFont val="Tahoma"/>
            <family val="2"/>
          </rPr>
          <t xml:space="preserve">Divisé par 1000 pour le rendre en tonnes
Source: Base Carbone ADEME
Scope1/ Combustibles/ Fossiles/ Gazeux/ Gaz naturel
</t>
        </r>
      </text>
    </comment>
    <comment ref="Y9" authorId="0" shapeId="0">
      <text>
        <r>
          <rPr>
            <b/>
            <sz val="9"/>
            <color indexed="81"/>
            <rFont val="Tahoma"/>
            <family val="2"/>
          </rPr>
          <t>FLORES-GUTIERREZ Josue-Fernando:</t>
        </r>
        <r>
          <rPr>
            <sz val="9"/>
            <color indexed="81"/>
            <rFont val="Tahoma"/>
            <family val="2"/>
          </rPr>
          <t xml:space="preserve">
5,00 % 
Source: Base Carbone ADEME
Scope1/ Combustibles/ Fossiles/ Gazeux/ Gaz naturel/ Afficher détails
</t>
        </r>
      </text>
    </comment>
    <comment ref="AB9" authorId="0" shapeId="0">
      <text>
        <r>
          <rPr>
            <b/>
            <sz val="9"/>
            <color indexed="81"/>
            <rFont val="Tahoma"/>
            <family val="2"/>
          </rPr>
          <t xml:space="preserve">FLORES-GUTIERREZ Josue-Fernando:
0,219 kgCO2e/kWh PCS dont la combustion fait 0,185 kgCO2e/kWh PCS
</t>
        </r>
        <r>
          <rPr>
            <sz val="9"/>
            <color indexed="81"/>
            <rFont val="Tahoma"/>
            <family val="2"/>
          </rPr>
          <t xml:space="preserve">Divisé par 1000 pour le rendre en tonnes
Source: Base Carbone ADEME
Scope1/ Combustibles/ Fossiles/ Gazeux/ Gaz naturel
</t>
        </r>
      </text>
    </comment>
    <comment ref="AJ9" authorId="0" shapeId="0">
      <text>
        <r>
          <rPr>
            <b/>
            <sz val="9"/>
            <color indexed="81"/>
            <rFont val="Tahoma"/>
            <family val="2"/>
          </rPr>
          <t>FLORES-GUTIERREZ Josue-Fernando:</t>
        </r>
        <r>
          <rPr>
            <sz val="9"/>
            <color indexed="81"/>
            <rFont val="Tahoma"/>
            <family val="2"/>
          </rPr>
          <t xml:space="preserve">
5,00 % 
Source: Base Carbone ADEME
Scope1/ Combustibles/ Fossiles/ Gazeux/ Gaz naturel/ Afficher détails
</t>
        </r>
      </text>
    </comment>
    <comment ref="F10" authorId="0" shapeId="0">
      <text>
        <r>
          <rPr>
            <b/>
            <sz val="9"/>
            <color indexed="81"/>
            <rFont val="Tahoma"/>
            <family val="2"/>
          </rPr>
          <t>FLORES-GUTIERREZ Josue-Fernando:</t>
        </r>
        <r>
          <rPr>
            <sz val="9"/>
            <color indexed="81"/>
            <rFont val="Tahoma"/>
            <family val="2"/>
          </rPr>
          <t xml:space="preserve">
</t>
        </r>
        <r>
          <rPr>
            <b/>
            <sz val="9"/>
            <color indexed="81"/>
            <rFont val="Tahoma"/>
            <family val="2"/>
          </rPr>
          <t xml:space="preserve">3,16 kgCO2e/L dont la combustion fait 2,51 kgCO2e/L </t>
        </r>
        <r>
          <rPr>
            <sz val="9"/>
            <color indexed="81"/>
            <rFont val="Tahoma"/>
            <family val="2"/>
          </rPr>
          <t xml:space="preserve">
Divisé par 1000 pour le rendre en tonnes.
Source: Base Carbone ADEME
Scope1/ Combustibles/ Fossiles/ Liquides/ Usage sources mobiles/ Usage routier/ Gazole routier
</t>
        </r>
      </text>
    </comment>
    <comment ref="M10" authorId="0" shapeId="0">
      <text>
        <r>
          <rPr>
            <b/>
            <sz val="9"/>
            <color indexed="81"/>
            <rFont val="Tahoma"/>
            <family val="2"/>
          </rPr>
          <t>FLORES-GUTIERREZ Josue-Fernando:</t>
        </r>
        <r>
          <rPr>
            <sz val="9"/>
            <color indexed="81"/>
            <rFont val="Tahoma"/>
            <family val="2"/>
          </rPr>
          <t xml:space="preserve">
10,0 %
Source: Base Carbone ADEME
Scope1/ Combustibles/ Fossiles/ Liquides/ Usage sources mobiles/ Usage routier/ Gazole routier/ Afficher détails
</t>
        </r>
      </text>
    </comment>
    <comment ref="P10" authorId="1" shapeId="0">
      <text>
        <r>
          <rPr>
            <b/>
            <sz val="9"/>
            <color indexed="81"/>
            <rFont val="Tahoma"/>
            <family val="2"/>
          </rPr>
          <t>LETANG Kristell:</t>
        </r>
        <r>
          <rPr>
            <sz val="9"/>
            <color indexed="81"/>
            <rFont val="Tahoma"/>
            <family val="2"/>
          </rPr>
          <t xml:space="preserve">
KgCO2e/Litre
Prend en compte que la combustion
Gazole routier à la pompe
Divisé par 1000 pour obtenir des tonnes</t>
        </r>
      </text>
    </comment>
    <comment ref="Q10" authorId="0" shapeId="0">
      <text>
        <r>
          <rPr>
            <b/>
            <sz val="9"/>
            <color indexed="81"/>
            <rFont val="Tahoma"/>
            <family val="2"/>
          </rPr>
          <t>FLORES-GUTIERREZ Josue-Fernando:</t>
        </r>
        <r>
          <rPr>
            <sz val="9"/>
            <color indexed="81"/>
            <rFont val="Tahoma"/>
            <family val="2"/>
          </rPr>
          <t xml:space="preserve">
</t>
        </r>
        <r>
          <rPr>
            <b/>
            <sz val="9"/>
            <color indexed="81"/>
            <rFont val="Tahoma"/>
            <family val="2"/>
          </rPr>
          <t xml:space="preserve">3,16 kgCO2e/L dont la combustion fait 2,51 kgCO2e/L </t>
        </r>
        <r>
          <rPr>
            <sz val="9"/>
            <color indexed="81"/>
            <rFont val="Tahoma"/>
            <family val="2"/>
          </rPr>
          <t xml:space="preserve">
Divisé par 1000 pour le rendre en tonnes.
Source: Base Carbone ADEME
Scope1/ Combustibles/ Fossiles/ Liquides/ Usage sources mobiles/ Usage routier/ Gazole routier
</t>
        </r>
      </text>
    </comment>
    <comment ref="Y10" authorId="0" shapeId="0">
      <text>
        <r>
          <rPr>
            <b/>
            <sz val="9"/>
            <color indexed="81"/>
            <rFont val="Tahoma"/>
            <family val="2"/>
          </rPr>
          <t>FLORES-GUTIERREZ Josue-Fernando:</t>
        </r>
        <r>
          <rPr>
            <sz val="9"/>
            <color indexed="81"/>
            <rFont val="Tahoma"/>
            <family val="2"/>
          </rPr>
          <t xml:space="preserve">
10,0 %
Source: Base Carbone ADEME
Scope1/ Combustibles/ Fossiles/ Liquides/ Usage sources mobiles/ Usage routier/ Gazole routier/ Afficher détails
</t>
        </r>
      </text>
    </comment>
    <comment ref="AB10" authorId="0" shapeId="0">
      <text>
        <r>
          <rPr>
            <b/>
            <sz val="9"/>
            <color indexed="81"/>
            <rFont val="Tahoma"/>
            <family val="2"/>
          </rPr>
          <t>FLORES-GUTIERREZ Josue-Fernando:</t>
        </r>
        <r>
          <rPr>
            <sz val="9"/>
            <color indexed="81"/>
            <rFont val="Tahoma"/>
            <family val="2"/>
          </rPr>
          <t xml:space="preserve">
</t>
        </r>
        <r>
          <rPr>
            <b/>
            <sz val="9"/>
            <color indexed="81"/>
            <rFont val="Tahoma"/>
            <family val="2"/>
          </rPr>
          <t xml:space="preserve">3,16 kgCO2e/L dont la combustion fait 2,51 kgCO2e/L </t>
        </r>
        <r>
          <rPr>
            <sz val="9"/>
            <color indexed="81"/>
            <rFont val="Tahoma"/>
            <family val="2"/>
          </rPr>
          <t xml:space="preserve">
Divisé par 1000 pour le rendre en tonnes.
Source: Base Carbone ADEME
Scope1/ Combustibles/ Fossiles/ Liquides/ Usage sources mobiles/ Usage routier/ Gazole routier
</t>
        </r>
      </text>
    </comment>
    <comment ref="AJ10" authorId="0" shapeId="0">
      <text>
        <r>
          <rPr>
            <b/>
            <sz val="9"/>
            <color indexed="81"/>
            <rFont val="Tahoma"/>
            <family val="2"/>
          </rPr>
          <t>FLORES-GUTIERREZ Josue-Fernando:</t>
        </r>
        <r>
          <rPr>
            <sz val="9"/>
            <color indexed="81"/>
            <rFont val="Tahoma"/>
            <family val="2"/>
          </rPr>
          <t xml:space="preserve">
10,0 %
Source: Base Carbone ADEME
Scope1/ Combustibles/ Fossiles/ Liquides/ Usage sources mobiles/ Usage routier/ Gazole routier/ Afficher détails
</t>
        </r>
      </text>
    </comment>
    <comment ref="F11" authorId="0" shapeId="0">
      <text>
        <r>
          <rPr>
            <b/>
            <sz val="9"/>
            <color indexed="81"/>
            <rFont val="Tahoma"/>
            <family val="2"/>
          </rPr>
          <t>FLORES-GUTIERREZ Josue-Fernando:</t>
        </r>
        <r>
          <rPr>
            <sz val="9"/>
            <color indexed="81"/>
            <rFont val="Tahoma"/>
            <family val="2"/>
          </rPr>
          <t xml:space="preserve">
</t>
        </r>
        <r>
          <rPr>
            <b/>
            <sz val="9"/>
            <color indexed="81"/>
            <rFont val="Tahoma"/>
            <family val="2"/>
          </rPr>
          <t xml:space="preserve">2,8 kgCO2e/ L dont la combustion fait 2,28  kgCO2e/ L </t>
        </r>
        <r>
          <rPr>
            <sz val="9"/>
            <color indexed="81"/>
            <rFont val="Tahoma"/>
            <family val="2"/>
          </rPr>
          <t xml:space="preserve">
Divisé par 1000 pour le rendren en tonnes.
Source: Base Carbone ADEME
Scope1/ Combustibles/ Fossiles/ Liquides/ Usage sources mobiles/ Usage routier/ Essence supercarburant sans plomp 
</t>
        </r>
      </text>
    </comment>
    <comment ref="M11" authorId="0" shapeId="0">
      <text>
        <r>
          <rPr>
            <b/>
            <sz val="9"/>
            <color indexed="81"/>
            <rFont val="Tahoma"/>
            <family val="2"/>
          </rPr>
          <t>FLORES-GUTIERREZ Josue-Fernando:</t>
        </r>
        <r>
          <rPr>
            <sz val="9"/>
            <color indexed="81"/>
            <rFont val="Tahoma"/>
            <family val="2"/>
          </rPr>
          <t xml:space="preserve">
10,0 %
Source: Base Carbone ADEME
Scope1/ Combustibles/ Fossiles/ Liquides/ Usage sources mobiles/ Usage routier/ Gazole routier/ Afficher détails
</t>
        </r>
      </text>
    </comment>
    <comment ref="P11" authorId="1" shapeId="0">
      <text>
        <r>
          <rPr>
            <b/>
            <sz val="9"/>
            <color indexed="81"/>
            <rFont val="Tahoma"/>
            <family val="2"/>
          </rPr>
          <t>LETANG Kristell:</t>
        </r>
        <r>
          <rPr>
            <sz val="9"/>
            <color indexed="81"/>
            <rFont val="Tahoma"/>
            <family val="2"/>
          </rPr>
          <t xml:space="preserve">
KgCO2e/Litre
Prend en compte que la partie combustion
Essence à la pompe SP 95 SP 98
Divisé par 1000 pour obtenir des tonnes</t>
        </r>
      </text>
    </comment>
    <comment ref="Q11" authorId="0" shapeId="0">
      <text>
        <r>
          <rPr>
            <b/>
            <sz val="9"/>
            <color indexed="81"/>
            <rFont val="Tahoma"/>
            <family val="2"/>
          </rPr>
          <t>FLORES-GUTIERREZ Josue-Fernando:</t>
        </r>
        <r>
          <rPr>
            <sz val="9"/>
            <color indexed="81"/>
            <rFont val="Tahoma"/>
            <family val="2"/>
          </rPr>
          <t xml:space="preserve">
</t>
        </r>
        <r>
          <rPr>
            <b/>
            <sz val="9"/>
            <color indexed="81"/>
            <rFont val="Tahoma"/>
            <family val="2"/>
          </rPr>
          <t xml:space="preserve">2,8 kgCO2e/ L dont la combustion fait 2,28  kgCO2e/ L </t>
        </r>
        <r>
          <rPr>
            <sz val="9"/>
            <color indexed="81"/>
            <rFont val="Tahoma"/>
            <family val="2"/>
          </rPr>
          <t xml:space="preserve">
Divisé par 1000 pour le rendren en tonnes.
Source: Base Carbone ADEME
Scope1/ Combustibles/ Fossiles/ Liquides/ Usage sources mobiles/ Usage routier/ Essence supercarburant sans plomp 
</t>
        </r>
      </text>
    </comment>
    <comment ref="Y11" authorId="0" shapeId="0">
      <text>
        <r>
          <rPr>
            <b/>
            <sz val="9"/>
            <color indexed="81"/>
            <rFont val="Tahoma"/>
            <family val="2"/>
          </rPr>
          <t>FLORES-GUTIERREZ Josue-Fernando:</t>
        </r>
        <r>
          <rPr>
            <sz val="9"/>
            <color indexed="81"/>
            <rFont val="Tahoma"/>
            <family val="2"/>
          </rPr>
          <t xml:space="preserve">
10,0 %
Source: Base Carbone ADEME
Scope1/ Combustibles/ Fossiles/ Liquides/ Usage sources mobiles/ Usage routier/ Gazole routier/ Afficher détails
</t>
        </r>
      </text>
    </comment>
    <comment ref="AB11" authorId="0" shapeId="0">
      <text>
        <r>
          <rPr>
            <b/>
            <sz val="9"/>
            <color indexed="81"/>
            <rFont val="Tahoma"/>
            <family val="2"/>
          </rPr>
          <t>FLORES-GUTIERREZ Josue-Fernando:</t>
        </r>
        <r>
          <rPr>
            <sz val="9"/>
            <color indexed="81"/>
            <rFont val="Tahoma"/>
            <family val="2"/>
          </rPr>
          <t xml:space="preserve">
</t>
        </r>
        <r>
          <rPr>
            <b/>
            <sz val="9"/>
            <color indexed="81"/>
            <rFont val="Tahoma"/>
            <family val="2"/>
          </rPr>
          <t xml:space="preserve">2,8 kgCO2e/ L dont la combustion fait 2,28  kgCO2e/ L </t>
        </r>
        <r>
          <rPr>
            <sz val="9"/>
            <color indexed="81"/>
            <rFont val="Tahoma"/>
            <family val="2"/>
          </rPr>
          <t xml:space="preserve">
Divisé par 1000 pour le rendren en tonnes.
Source: Base Carbone ADEME
Scope1/ Combustibles/ Fossiles/ Liquides/ Usage sources mobiles/ Usage routier/ Essence supercarburant sans plomp 
</t>
        </r>
      </text>
    </comment>
    <comment ref="AJ11" authorId="0" shapeId="0">
      <text>
        <r>
          <rPr>
            <b/>
            <sz val="9"/>
            <color indexed="81"/>
            <rFont val="Tahoma"/>
            <family val="2"/>
          </rPr>
          <t>FLORES-GUTIERREZ Josue-Fernando:</t>
        </r>
        <r>
          <rPr>
            <sz val="9"/>
            <color indexed="81"/>
            <rFont val="Tahoma"/>
            <family val="2"/>
          </rPr>
          <t xml:space="preserve">
10,0 %
Source: Base Carbone ADEME
Scope1/ Combustibles/ Fossiles/ Liquides/ Usage sources mobiles/ Usage routier/ Gazole routier/ Afficher détails
</t>
        </r>
      </text>
    </comment>
    <comment ref="F12" authorId="0" shapeId="0">
      <text>
        <r>
          <rPr>
            <b/>
            <sz val="9"/>
            <color indexed="81"/>
            <rFont val="Tahoma"/>
            <family val="2"/>
          </rPr>
          <t>FLORES-GUTIERREZ Josue-Fernando:</t>
        </r>
        <r>
          <rPr>
            <sz val="9"/>
            <color indexed="81"/>
            <rFont val="Tahoma"/>
            <family val="2"/>
          </rPr>
          <t xml:space="preserve">
</t>
        </r>
        <r>
          <rPr>
            <b/>
            <sz val="9"/>
            <color indexed="81"/>
            <rFont val="Tahoma"/>
            <family val="2"/>
          </rPr>
          <t xml:space="preserve">0,3 kg de fluide / m²
</t>
        </r>
        <r>
          <rPr>
            <sz val="9"/>
            <color indexed="81"/>
            <rFont val="Tahoma"/>
            <family val="2"/>
          </rPr>
          <t>Divisé par 1000 pour obtenir des tonnes
Source: Base Carbone ADEME
Scope 1/ Process et emissions fugitives/ Refrigeration et climatisation/ Climatisation/ Tertiaire hors commerces/ Climatisation à eau glacée, chillers à compresseur centrifuge moyenne - ration de charge
*Aller voir la documentation pour obtenir  l'information
Le ratio de charge est de 0,3 kg de fluide/m2 car la puissance de l'equipement est  50&lt;P&lt;350kW</t>
        </r>
      </text>
    </comment>
    <comment ref="M12" authorId="0" shapeId="0">
      <text>
        <r>
          <rPr>
            <b/>
            <sz val="9"/>
            <color indexed="81"/>
            <rFont val="Tahoma"/>
            <family val="2"/>
          </rPr>
          <t>FLORES-GUTIERREZ Josue-Fernando:</t>
        </r>
        <r>
          <rPr>
            <sz val="9"/>
            <color indexed="81"/>
            <rFont val="Tahoma"/>
            <family val="2"/>
          </rPr>
          <t xml:space="preserve">
50,0 %
Source: Base Carbone ADEME
Scope 1/ Process et emissions fugitives/ Refrigeration et climatisation/ Climatisation/ Tertiaire hors commerces/ Climatisation à eau glacée, chillers à compresseur centrifuge moyenne - ration de charge/
 Afficher détails
</t>
        </r>
      </text>
    </comment>
    <comment ref="P12" authorId="1" shapeId="0">
      <text>
        <r>
          <rPr>
            <b/>
            <sz val="9"/>
            <color indexed="81"/>
            <rFont val="Tahoma"/>
            <family val="2"/>
          </rPr>
          <t>LETANG Kristell:</t>
        </r>
        <r>
          <rPr>
            <sz val="9"/>
            <color indexed="81"/>
            <rFont val="Tahoma"/>
            <family val="2"/>
          </rPr>
          <t xml:space="preserve">
Kg de fluide / m²
Climatisation à eau glacée, chillers à compresseur centrifuge moyenne - ration de charge
Divisé par 1000 pour obtenir des tonnes</t>
        </r>
      </text>
    </comment>
    <comment ref="Q12" authorId="0" shapeId="0">
      <text>
        <r>
          <rPr>
            <b/>
            <sz val="9"/>
            <color indexed="81"/>
            <rFont val="Tahoma"/>
            <family val="2"/>
          </rPr>
          <t>FLORES-GUTIERREZ Josue-Fernando:</t>
        </r>
        <r>
          <rPr>
            <sz val="9"/>
            <color indexed="81"/>
            <rFont val="Tahoma"/>
            <family val="2"/>
          </rPr>
          <t xml:space="preserve">
</t>
        </r>
        <r>
          <rPr>
            <b/>
            <sz val="9"/>
            <color indexed="81"/>
            <rFont val="Tahoma"/>
            <family val="2"/>
          </rPr>
          <t xml:space="preserve">0,3 kg de fluide / m²
</t>
        </r>
        <r>
          <rPr>
            <sz val="9"/>
            <color indexed="81"/>
            <rFont val="Tahoma"/>
            <family val="2"/>
          </rPr>
          <t>Divisé par 1000 pour obtenir des tonnes
Source: Base Carbone ADEME
Scope 1/ Process et emissions fugitives/ Refrigeration et climatisation/ Climatisation/ Tertiaire hors commerces/ Climatisation à eau glacée, chillers à compresseur centrifuge moyenne - ration de charge
*Aller voir la documentation pour obtenir  l'information
Le ratio de charge est de 0,3 kg de fluide/m2 car la puissance de l'equipement est  50&lt;P&lt;350kW</t>
        </r>
      </text>
    </comment>
    <comment ref="Y12" authorId="0" shapeId="0">
      <text>
        <r>
          <rPr>
            <b/>
            <sz val="9"/>
            <color indexed="81"/>
            <rFont val="Tahoma"/>
            <family val="2"/>
          </rPr>
          <t>FLORES-GUTIERREZ Josue-Fernando:</t>
        </r>
        <r>
          <rPr>
            <sz val="9"/>
            <color indexed="81"/>
            <rFont val="Tahoma"/>
            <family val="2"/>
          </rPr>
          <t xml:space="preserve">
50,0 %
Source: Base Carbone ADEME
Scope 1/ Process et emissions fugitives/ Refrigeration et climatisation/ Climatisation/ Tertiaire hors commerces/ Climatisation à eau glacée, chillers à compresseur centrifuge moyenne - ration de charge/
 Afficher détails
</t>
        </r>
      </text>
    </comment>
    <comment ref="AB12" authorId="0" shapeId="0">
      <text>
        <r>
          <rPr>
            <b/>
            <sz val="9"/>
            <color indexed="81"/>
            <rFont val="Tahoma"/>
            <family val="2"/>
          </rPr>
          <t>FLORES-GUTIERREZ Josue-Fernando:</t>
        </r>
        <r>
          <rPr>
            <sz val="9"/>
            <color indexed="81"/>
            <rFont val="Tahoma"/>
            <family val="2"/>
          </rPr>
          <t xml:space="preserve">
</t>
        </r>
        <r>
          <rPr>
            <b/>
            <sz val="9"/>
            <color indexed="81"/>
            <rFont val="Tahoma"/>
            <family val="2"/>
          </rPr>
          <t xml:space="preserve">0,3 kg de fluide / m²
</t>
        </r>
        <r>
          <rPr>
            <sz val="9"/>
            <color indexed="81"/>
            <rFont val="Tahoma"/>
            <family val="2"/>
          </rPr>
          <t>Divisé par 1000 pour obtenir des tonnes
Source: Base Carbone ADEME
Scope 1/ Process et emissions fugitives/ Refrigeration et climatisation/ Climatisation/ Tertiaire hors commerces/ Climatisation à eau glacée, chillers à compresseur centrifuge moyenne - ration de charge
*Aller voir la documentation pour obtenir  l'information
Le ratio de charge est de 0,3 kg de fluide/m2 car la puissance de l'equipement est  50&lt;P&lt;350kW</t>
        </r>
      </text>
    </comment>
    <comment ref="AJ12" authorId="0" shapeId="0">
      <text>
        <r>
          <rPr>
            <b/>
            <sz val="9"/>
            <color indexed="81"/>
            <rFont val="Tahoma"/>
            <family val="2"/>
          </rPr>
          <t>FLORES-GUTIERREZ Josue-Fernando:</t>
        </r>
        <r>
          <rPr>
            <sz val="9"/>
            <color indexed="81"/>
            <rFont val="Tahoma"/>
            <family val="2"/>
          </rPr>
          <t xml:space="preserve">
50,0 %
Source: Base Carbone ADEME
Scope 1/ Process et emissions fugitives/ Refrigeration et climatisation/ Climatisation/ Tertiaire hors commerces/ Climatisation à eau glacée, chillers à compresseur centrifuge moyenne - ration de charge/
 Afficher détails
</t>
        </r>
      </text>
    </comment>
    <comment ref="F13" authorId="0" shapeId="0">
      <text>
        <r>
          <rPr>
            <b/>
            <sz val="9"/>
            <color indexed="81"/>
            <rFont val="Tahoma"/>
            <family val="2"/>
          </rPr>
          <t>FLORES-GUTIERREZ Josue-Fernando:</t>
        </r>
        <r>
          <rPr>
            <sz val="9"/>
            <color indexed="81"/>
            <rFont val="Tahoma"/>
            <family val="2"/>
          </rPr>
          <t xml:space="preserve">
</t>
        </r>
        <r>
          <rPr>
            <b/>
            <sz val="9"/>
            <color indexed="81"/>
            <rFont val="Tahoma"/>
            <family val="2"/>
          </rPr>
          <t xml:space="preserve">9kg de fluide / m²
</t>
        </r>
        <r>
          <rPr>
            <sz val="9"/>
            <color indexed="81"/>
            <rFont val="Tahoma"/>
            <family val="2"/>
          </rPr>
          <t xml:space="preserve">Divisé par 1000 pour obtenir des tonnes
Source: Base Carbone ADEME
Scope 1/ Process et emissions fugitives/ Refrigeration et climatisation/ Climatisation/ Tertiaire hors commerces/ Climatisation à air, moyenne tous equipements confondus - charge moyenne
*Aller voir la documentation pour obtenir  l'information
</t>
        </r>
      </text>
    </comment>
    <comment ref="M13" authorId="0" shapeId="0">
      <text>
        <r>
          <rPr>
            <b/>
            <sz val="9"/>
            <color indexed="81"/>
            <rFont val="Tahoma"/>
            <family val="2"/>
          </rPr>
          <t>FLORES-GUTIERREZ Josue-Fernando:</t>
        </r>
        <r>
          <rPr>
            <sz val="9"/>
            <color indexed="81"/>
            <rFont val="Tahoma"/>
            <family val="2"/>
          </rPr>
          <t xml:space="preserve">
50,0 %
Source: Base Carbone ADEME
Scope 1/ Process et emissions fugitives/ Refrigeration et climatisation/ Climatisation/ Tertiaire hors commerces/ Climatisation à air, moyenne tous equipements confondus - charge moyenne/ Afficher détails</t>
        </r>
      </text>
    </comment>
    <comment ref="P13" authorId="1" shapeId="0">
      <text>
        <r>
          <rPr>
            <b/>
            <sz val="9"/>
            <color indexed="81"/>
            <rFont val="Tahoma"/>
            <family val="2"/>
          </rPr>
          <t>LETANG Kristell:</t>
        </r>
        <r>
          <rPr>
            <sz val="9"/>
            <color indexed="81"/>
            <rFont val="Tahoma"/>
            <family val="2"/>
          </rPr>
          <t xml:space="preserve">
Kg de fluide
Climatisation à air, moyenne tous équipements confondus - charge moyenne
Divisé par 1000 pour obtenir des tonnes</t>
        </r>
      </text>
    </comment>
    <comment ref="Q13" authorId="0" shapeId="0">
      <text>
        <r>
          <rPr>
            <b/>
            <sz val="9"/>
            <color indexed="81"/>
            <rFont val="Tahoma"/>
            <family val="2"/>
          </rPr>
          <t>FLORES-GUTIERREZ Josue-Fernando:</t>
        </r>
        <r>
          <rPr>
            <sz val="9"/>
            <color indexed="81"/>
            <rFont val="Tahoma"/>
            <family val="2"/>
          </rPr>
          <t xml:space="preserve">
</t>
        </r>
        <r>
          <rPr>
            <b/>
            <sz val="9"/>
            <color indexed="81"/>
            <rFont val="Tahoma"/>
            <family val="2"/>
          </rPr>
          <t xml:space="preserve">9kg de fluide / m²
</t>
        </r>
        <r>
          <rPr>
            <sz val="9"/>
            <color indexed="81"/>
            <rFont val="Tahoma"/>
            <family val="2"/>
          </rPr>
          <t xml:space="preserve">Divisé par 1000 pour obtenir des tonnes
Source: Base Carbone ADEME
Scope 1/ Process et emissions fugitives/ Refrigeration et climatisation/ Climatisation/ Tertiaire hors commerces/ Climatisation à air, moyenne tous equipements confondus - charge moyenne
*Aller voir la documentation pour obtenir  l'information
</t>
        </r>
      </text>
    </comment>
    <comment ref="Y13" authorId="0" shapeId="0">
      <text>
        <r>
          <rPr>
            <b/>
            <sz val="9"/>
            <color indexed="81"/>
            <rFont val="Tahoma"/>
            <family val="2"/>
          </rPr>
          <t>FLORES-GUTIERREZ Josue-Fernando:</t>
        </r>
        <r>
          <rPr>
            <sz val="9"/>
            <color indexed="81"/>
            <rFont val="Tahoma"/>
            <family val="2"/>
          </rPr>
          <t xml:space="preserve">
50,0 %
Source: Base Carbone ADEME
Scope 1/ Process et emissions fugitives/ Refrigeration et climatisation/ Climatisation/ Tertiaire hors commerces/ Climatisation à air, moyenne tous equipements confondus - charge moyenne/ Afficher détails</t>
        </r>
      </text>
    </comment>
    <comment ref="AB13" authorId="0" shapeId="0">
      <text>
        <r>
          <rPr>
            <b/>
            <sz val="9"/>
            <color indexed="81"/>
            <rFont val="Tahoma"/>
            <family val="2"/>
          </rPr>
          <t>FLORES-GUTIERREZ Josue-Fernando:</t>
        </r>
        <r>
          <rPr>
            <sz val="9"/>
            <color indexed="81"/>
            <rFont val="Tahoma"/>
            <family val="2"/>
          </rPr>
          <t xml:space="preserve">
</t>
        </r>
        <r>
          <rPr>
            <b/>
            <sz val="9"/>
            <color indexed="81"/>
            <rFont val="Tahoma"/>
            <family val="2"/>
          </rPr>
          <t xml:space="preserve">9kg de fluide / m²
</t>
        </r>
        <r>
          <rPr>
            <sz val="9"/>
            <color indexed="81"/>
            <rFont val="Tahoma"/>
            <family val="2"/>
          </rPr>
          <t xml:space="preserve">Divisé par 1000 pour obtenir des tonnes
Source: Base Carbone ADEME
Scope 1/ Process et emissions fugitives/ Refrigeration et climatisation/ Climatisation/ Tertiaire hors commerces/ Climatisation à air, moyenne tous equipements confondus - charge moyenne
*Aller voir la documentation pour obtenir  l'information
</t>
        </r>
      </text>
    </comment>
    <comment ref="AJ13" authorId="0" shapeId="0">
      <text>
        <r>
          <rPr>
            <b/>
            <sz val="9"/>
            <color indexed="81"/>
            <rFont val="Tahoma"/>
            <family val="2"/>
          </rPr>
          <t>FLORES-GUTIERREZ Josue-Fernando:</t>
        </r>
        <r>
          <rPr>
            <sz val="9"/>
            <color indexed="81"/>
            <rFont val="Tahoma"/>
            <family val="2"/>
          </rPr>
          <t xml:space="preserve">
50,0 %
Source: Base Carbone ADEME
Scope 1/ Process et emissions fugitives/ Refrigeration et climatisation/ Climatisation/ Tertiaire hors commerces/ Climatisation à air, moyenne tous equipements confondus - charge moyenne/ Afficher détails</t>
        </r>
      </text>
    </comment>
    <comment ref="F14" authorId="0" shapeId="0">
      <text>
        <r>
          <rPr>
            <b/>
            <sz val="9"/>
            <color indexed="81"/>
            <rFont val="Tahoma"/>
            <family val="2"/>
          </rPr>
          <t>FLORES-GUTIERREZ Josue-Fernando:</t>
        </r>
        <r>
          <rPr>
            <sz val="9"/>
            <color indexed="81"/>
            <rFont val="Tahoma"/>
            <family val="2"/>
          </rPr>
          <t xml:space="preserve">
</t>
        </r>
        <r>
          <rPr>
            <b/>
            <sz val="9"/>
            <color indexed="81"/>
            <rFont val="Tahoma"/>
            <family val="2"/>
          </rPr>
          <t xml:space="preserve">9kg de fluide / m²
</t>
        </r>
        <r>
          <rPr>
            <sz val="9"/>
            <color indexed="81"/>
            <rFont val="Tahoma"/>
            <family val="2"/>
          </rPr>
          <t xml:space="preserve">Divisé par 1000 pour obtenir des tonnes
Source: Base Carbone ADEME
Scope 1/ Process et emissions fugitives/ Refrigeration et climatisation/ Climatisation/ Tertiaire hors commerces/ Climatisation à air, moyenne tous equipements confondus - charge moyenne
*Aller voir la documentation pour obtenir  l'information
</t>
        </r>
      </text>
    </comment>
    <comment ref="M14" authorId="0" shapeId="0">
      <text>
        <r>
          <rPr>
            <b/>
            <sz val="9"/>
            <color indexed="81"/>
            <rFont val="Tahoma"/>
            <family val="2"/>
          </rPr>
          <t>FLORES-GUTIERREZ Josue-Fernando:</t>
        </r>
        <r>
          <rPr>
            <sz val="9"/>
            <color indexed="81"/>
            <rFont val="Tahoma"/>
            <family val="2"/>
          </rPr>
          <t xml:space="preserve">
50,0 %
Source: Base Carbone ADEME
Scope 1/ Process et emissions fugitives/ Refrigeration et climatisation/ Climatisation/ Tertiaire hors commerces/ Climatisation à air, moyenne tous equipements confondus - charge moyenne/ Afficher détails</t>
        </r>
      </text>
    </comment>
    <comment ref="P14" authorId="1" shapeId="0">
      <text>
        <r>
          <rPr>
            <b/>
            <sz val="9"/>
            <color indexed="81"/>
            <rFont val="Tahoma"/>
            <family val="2"/>
          </rPr>
          <t>LETANG Kristell:</t>
        </r>
        <r>
          <rPr>
            <sz val="9"/>
            <color indexed="81"/>
            <rFont val="Tahoma"/>
            <family val="2"/>
          </rPr>
          <t xml:space="preserve">
Kg de fluide
Climatisation à air, moyenne tous équipements confondus - charge moyenne
Divisé par 1000 pour obtenir des tonnes</t>
        </r>
      </text>
    </comment>
    <comment ref="Q14" authorId="0" shapeId="0">
      <text>
        <r>
          <rPr>
            <b/>
            <sz val="9"/>
            <color indexed="81"/>
            <rFont val="Tahoma"/>
            <family val="2"/>
          </rPr>
          <t>FLORES-GUTIERREZ Josue-Fernando:</t>
        </r>
        <r>
          <rPr>
            <sz val="9"/>
            <color indexed="81"/>
            <rFont val="Tahoma"/>
            <family val="2"/>
          </rPr>
          <t xml:space="preserve">
</t>
        </r>
        <r>
          <rPr>
            <b/>
            <sz val="9"/>
            <color indexed="81"/>
            <rFont val="Tahoma"/>
            <family val="2"/>
          </rPr>
          <t xml:space="preserve">9kg de fluide / m²
</t>
        </r>
        <r>
          <rPr>
            <sz val="9"/>
            <color indexed="81"/>
            <rFont val="Tahoma"/>
            <family val="2"/>
          </rPr>
          <t xml:space="preserve">Divisé par 1000 pour obtenir des tonnes
Source: Base Carbone ADEME
Scope 1/ Process et emissions fugitives/ Refrigeration et climatisation/ Climatisation/ Tertiaire hors commerces/ Climatisation à air, moyenne tous equipements confondus - charge moyenne
*Aller voir la documentation pour obtenir  l'information
</t>
        </r>
      </text>
    </comment>
    <comment ref="Y14" authorId="0" shapeId="0">
      <text>
        <r>
          <rPr>
            <b/>
            <sz val="9"/>
            <color indexed="81"/>
            <rFont val="Tahoma"/>
            <family val="2"/>
          </rPr>
          <t>FLORES-GUTIERREZ Josue-Fernando:</t>
        </r>
        <r>
          <rPr>
            <sz val="9"/>
            <color indexed="81"/>
            <rFont val="Tahoma"/>
            <family val="2"/>
          </rPr>
          <t xml:space="preserve">
50,0 %
Source: Base Carbone ADEME
Scope 1/ Process et emissions fugitives/ Refrigeration et climatisation/ Climatisation/ Tertiaire hors commerces/ Climatisation à air, moyenne tous equipements confondus - charge moyenne/ Afficher détails</t>
        </r>
      </text>
    </comment>
    <comment ref="AB14" authorId="0" shapeId="0">
      <text>
        <r>
          <rPr>
            <b/>
            <sz val="9"/>
            <color indexed="81"/>
            <rFont val="Tahoma"/>
            <family val="2"/>
          </rPr>
          <t>FLORES-GUTIERREZ Josue-Fernando:</t>
        </r>
        <r>
          <rPr>
            <sz val="9"/>
            <color indexed="81"/>
            <rFont val="Tahoma"/>
            <family val="2"/>
          </rPr>
          <t xml:space="preserve">
</t>
        </r>
        <r>
          <rPr>
            <b/>
            <sz val="9"/>
            <color indexed="81"/>
            <rFont val="Tahoma"/>
            <family val="2"/>
          </rPr>
          <t xml:space="preserve">9kg de fluide / m²
</t>
        </r>
        <r>
          <rPr>
            <sz val="9"/>
            <color indexed="81"/>
            <rFont val="Tahoma"/>
            <family val="2"/>
          </rPr>
          <t xml:space="preserve">Divisé par 1000 pour obtenir des tonnes
Source: Base Carbone ADEME
Scope 1/ Process et emissions fugitives/ Refrigeration et climatisation/ Climatisation/ Tertiaire hors commerces/ Climatisation à air, moyenne tous equipements confondus - charge moyenne
*Aller voir la documentation pour obtenir  l'information
</t>
        </r>
      </text>
    </comment>
    <comment ref="AJ14" authorId="0" shapeId="0">
      <text>
        <r>
          <rPr>
            <b/>
            <sz val="9"/>
            <color indexed="81"/>
            <rFont val="Tahoma"/>
            <family val="2"/>
          </rPr>
          <t>FLORES-GUTIERREZ Josue-Fernando:</t>
        </r>
        <r>
          <rPr>
            <sz val="9"/>
            <color indexed="81"/>
            <rFont val="Tahoma"/>
            <family val="2"/>
          </rPr>
          <t xml:space="preserve">
50,0 %
Source: Base Carbone ADEME
Scope 1/ Process et emissions fugitives/ Refrigeration et climatisation/ Climatisation/ Tertiaire hors commerces/ Climatisation à air, moyenne tous equipements confondus - charge moyenne/ Afficher détails</t>
        </r>
      </text>
    </comment>
    <comment ref="M15" authorId="0" shapeId="0">
      <text>
        <r>
          <rPr>
            <b/>
            <sz val="9"/>
            <color indexed="81"/>
            <rFont val="Tahoma"/>
            <family val="2"/>
          </rPr>
          <t>FLORES-GUTIERREZ Josue-Fernando:</t>
        </r>
        <r>
          <rPr>
            <sz val="9"/>
            <color indexed="81"/>
            <rFont val="Tahoma"/>
            <family val="2"/>
          </rPr>
          <t xml:space="preserve">
30,0 %
Source: Base Carbone ADEME
PRG/ PRG à 100 ans du 5èmè rapport du GEIC/ Principaux gaz à effet de serre fluorés/ SF6 -PRG à 100ans/ Afficher détails
</t>
        </r>
      </text>
    </comment>
    <comment ref="V15" authorId="1" shapeId="0">
      <text>
        <r>
          <rPr>
            <b/>
            <sz val="9"/>
            <color indexed="81"/>
            <rFont val="Tahoma"/>
            <family val="2"/>
          </rPr>
          <t>LETANG Kristell:</t>
        </r>
        <r>
          <rPr>
            <sz val="9"/>
            <color indexed="81"/>
            <rFont val="Tahoma"/>
            <family val="2"/>
          </rPr>
          <t xml:space="preserve">
On fait l'hypothèse que le gaz est entièrement rejeté dans l'atmosphère</t>
        </r>
      </text>
    </comment>
    <comment ref="Y15" authorId="0" shapeId="0">
      <text>
        <r>
          <rPr>
            <b/>
            <sz val="9"/>
            <color indexed="81"/>
            <rFont val="Tahoma"/>
            <family val="2"/>
          </rPr>
          <t>FLORES-GUTIERREZ Josue-Fernando:</t>
        </r>
        <r>
          <rPr>
            <sz val="9"/>
            <color indexed="81"/>
            <rFont val="Tahoma"/>
            <family val="2"/>
          </rPr>
          <t xml:space="preserve">
30,0 %
Source: Base Carbone ADEME
PRG/ PRG à 100 ans du 5èmè rapport du GEIC/ Principaux gaz à effet de serre fluorés/ SF6 -PRG à 100ans/ Afficher détails
</t>
        </r>
      </text>
    </comment>
    <comment ref="AJ15" authorId="0" shapeId="0">
      <text>
        <r>
          <rPr>
            <b/>
            <sz val="9"/>
            <color indexed="81"/>
            <rFont val="Tahoma"/>
            <family val="2"/>
          </rPr>
          <t>FLORES-GUTIERREZ Josue-Fernando:</t>
        </r>
        <r>
          <rPr>
            <sz val="9"/>
            <color indexed="81"/>
            <rFont val="Tahoma"/>
            <family val="2"/>
          </rPr>
          <t xml:space="preserve">
30,0 %
Source: Base Carbone ADEME
PRG/ PRG à 100 ans du 5èmè rapport du GEIC/ Principaux gaz à effet de serre fluorés/ SF6 -PRG à 100ans/ Afficher détails
</t>
        </r>
      </text>
    </comment>
    <comment ref="M16" authorId="0" shapeId="0">
      <text>
        <r>
          <rPr>
            <b/>
            <sz val="9"/>
            <color indexed="81"/>
            <rFont val="Tahoma"/>
            <family val="2"/>
          </rPr>
          <t>FLORES-GUTIERREZ Josue-Fernando:</t>
        </r>
        <r>
          <rPr>
            <sz val="9"/>
            <color indexed="81"/>
            <rFont val="Tahoma"/>
            <family val="2"/>
          </rPr>
          <t xml:space="preserve">
30,0 %
Source: Base Carbone ADEME
PRG/ PRG à 100 ans du 5èmè rapport du GEIC/ Principaux gaz à effet de serre fluorés/ R23 -PRG à 100 ans/ Afficher détails</t>
        </r>
      </text>
    </comment>
    <comment ref="Y16" authorId="0" shapeId="0">
      <text>
        <r>
          <rPr>
            <b/>
            <sz val="9"/>
            <color indexed="81"/>
            <rFont val="Tahoma"/>
            <family val="2"/>
          </rPr>
          <t>FLORES-GUTIERREZ Josue-Fernando:</t>
        </r>
        <r>
          <rPr>
            <sz val="9"/>
            <color indexed="81"/>
            <rFont val="Tahoma"/>
            <family val="2"/>
          </rPr>
          <t xml:space="preserve">
30,0 %
Source: Base Carbone ADEME
PRG/ PRG à 100 ans du 5èmè rapport du GEIC/ Principaux gaz à effet de serre fluorés/ R23 -PRG à 100 ans/ Afficher détails</t>
        </r>
      </text>
    </comment>
    <comment ref="AJ16" authorId="0" shapeId="0">
      <text>
        <r>
          <rPr>
            <b/>
            <sz val="9"/>
            <color indexed="81"/>
            <rFont val="Tahoma"/>
            <family val="2"/>
          </rPr>
          <t>FLORES-GUTIERREZ Josue-Fernando:</t>
        </r>
        <r>
          <rPr>
            <sz val="9"/>
            <color indexed="81"/>
            <rFont val="Tahoma"/>
            <family val="2"/>
          </rPr>
          <t xml:space="preserve">
30,0 %
Source: Base Carbone ADEME
PRG/ PRG à 100 ans du 5èmè rapport du GEIC/ Principaux gaz à effet de serre fluorés/ R23 -PRG à 100 ans/ Afficher détails</t>
        </r>
      </text>
    </comment>
    <comment ref="F17" authorId="0" shapeId="0">
      <text>
        <r>
          <rPr>
            <b/>
            <sz val="9"/>
            <color indexed="81"/>
            <rFont val="Tahoma"/>
            <family val="2"/>
          </rPr>
          <t>FLORES-GUTIERREZ Josue-Fernando:</t>
        </r>
        <r>
          <rPr>
            <sz val="9"/>
            <color indexed="81"/>
            <rFont val="Tahoma"/>
            <family val="2"/>
          </rPr>
          <t xml:space="preserve">
Reprise du facteur recalculé par NG 2014
*Hypothese 
50% est rejeté a l'atm comme CH4 et l'autre-
50% comme C02</t>
        </r>
      </text>
    </comment>
    <comment ref="M17" authorId="0" shapeId="0">
      <text>
        <r>
          <rPr>
            <b/>
            <sz val="9"/>
            <color indexed="81"/>
            <rFont val="Tahoma"/>
            <family val="2"/>
          </rPr>
          <t>FLORES-GUTIERREZ Josue-Fernando:</t>
        </r>
        <r>
          <rPr>
            <sz val="9"/>
            <color indexed="81"/>
            <rFont val="Tahoma"/>
            <family val="2"/>
          </rPr>
          <t xml:space="preserve">
30,0 % pour le FE CO2 et 30% pour le FE CH4
Source: Base Carbone ADEME
PRG/ PRG à 100 ans du 5èmè rapport du GEIC/ Principaux gaz à effet de serre(CO2, CH4 et NO2)</t>
        </r>
      </text>
    </comment>
    <comment ref="P17" authorId="1" shapeId="0">
      <text>
        <r>
          <rPr>
            <b/>
            <sz val="9"/>
            <color indexed="81"/>
            <rFont val="Tahoma"/>
            <family val="2"/>
          </rPr>
          <t>LETANG Kristell:</t>
        </r>
        <r>
          <rPr>
            <sz val="9"/>
            <color indexed="81"/>
            <rFont val="Tahoma"/>
            <family val="2"/>
          </rPr>
          <t xml:space="preserve">
Facteur recalculé par Natacha Gondran</t>
        </r>
      </text>
    </comment>
    <comment ref="Q17" authorId="0" shapeId="0">
      <text>
        <r>
          <rPr>
            <b/>
            <sz val="9"/>
            <color indexed="81"/>
            <rFont val="Tahoma"/>
            <family val="2"/>
          </rPr>
          <t>FLORES-GUTIERREZ Josue-Fernando:</t>
        </r>
        <r>
          <rPr>
            <sz val="9"/>
            <color indexed="81"/>
            <rFont val="Tahoma"/>
            <family val="2"/>
          </rPr>
          <t xml:space="preserve">
Reprise du facteur recalculé par NG 2014
*Hypothese 
50% est rejeté a l'atm comme CH4 et l'autre-
50% comme C02</t>
        </r>
      </text>
    </comment>
    <comment ref="R17" authorId="1" shapeId="0">
      <text>
        <r>
          <rPr>
            <b/>
            <sz val="9"/>
            <color indexed="81"/>
            <rFont val="Tahoma"/>
            <family val="2"/>
          </rPr>
          <t>LETANG Kristell:</t>
        </r>
        <r>
          <rPr>
            <sz val="9"/>
            <color indexed="81"/>
            <rFont val="Tahoma"/>
            <family val="2"/>
          </rPr>
          <t xml:space="preserve">
On fait l'hypothèse qu'une partie du gaz est brûlée</t>
        </r>
      </text>
    </comment>
    <comment ref="S17" authorId="1" shapeId="0">
      <text>
        <r>
          <rPr>
            <b/>
            <sz val="9"/>
            <color indexed="81"/>
            <rFont val="Tahoma"/>
            <family val="2"/>
          </rPr>
          <t>LETANG Kristell:</t>
        </r>
        <r>
          <rPr>
            <sz val="9"/>
            <color indexed="81"/>
            <rFont val="Tahoma"/>
            <family val="2"/>
          </rPr>
          <t xml:space="preserve">
On fait l'hyothèse que l'autre partie du gaz est rejetée dans l'atmosphère</t>
        </r>
      </text>
    </comment>
    <comment ref="Y17" authorId="0" shapeId="0">
      <text>
        <r>
          <rPr>
            <b/>
            <sz val="9"/>
            <color indexed="81"/>
            <rFont val="Tahoma"/>
            <family val="2"/>
          </rPr>
          <t>FLORES-GUTIERREZ Josue-Fernando:</t>
        </r>
        <r>
          <rPr>
            <sz val="9"/>
            <color indexed="81"/>
            <rFont val="Tahoma"/>
            <family val="2"/>
          </rPr>
          <t xml:space="preserve">
30,0 % pour le FE CO2 et 30% pour le FE CH4
Source: Base Carbone ADEME
PRG/ PRG à 100 ans du 5èmè rapport du GEIC/ Principaux gaz à effet de serre(CO2, CH4 et NO2)</t>
        </r>
      </text>
    </comment>
    <comment ref="AB17" authorId="0" shapeId="0">
      <text>
        <r>
          <rPr>
            <b/>
            <sz val="9"/>
            <color indexed="81"/>
            <rFont val="Tahoma"/>
            <family val="2"/>
          </rPr>
          <t>FLORES-GUTIERREZ Josue-Fernando:</t>
        </r>
        <r>
          <rPr>
            <sz val="9"/>
            <color indexed="81"/>
            <rFont val="Tahoma"/>
            <family val="2"/>
          </rPr>
          <t xml:space="preserve">
Reprise du facteur recalculé par NG 2014
*Hypothese 
50% est rejeté a l'atm comme CH4 et l'autre-
50% comme C02</t>
        </r>
      </text>
    </comment>
    <comment ref="AJ17" authorId="0" shapeId="0">
      <text>
        <r>
          <rPr>
            <b/>
            <sz val="9"/>
            <color indexed="81"/>
            <rFont val="Tahoma"/>
            <family val="2"/>
          </rPr>
          <t>FLORES-GUTIERREZ Josue-Fernando:</t>
        </r>
        <r>
          <rPr>
            <sz val="9"/>
            <color indexed="81"/>
            <rFont val="Tahoma"/>
            <family val="2"/>
          </rPr>
          <t xml:space="preserve">
30,0 % pour le FE CO2 et 30% pour le FE CH4
Source: Base Carbone ADEME
PRG/ PRG à 100 ans du 5èmè rapport du GEIC/ Principaux gaz à effet de serre(CO2, CH4 et NO2)</t>
        </r>
      </text>
    </comment>
    <comment ref="M18" authorId="0" shapeId="0">
      <text>
        <r>
          <rPr>
            <b/>
            <sz val="9"/>
            <color indexed="81"/>
            <rFont val="Tahoma"/>
            <family val="2"/>
          </rPr>
          <t>FLORES-GUTIERREZ Josue-Fernando:</t>
        </r>
        <r>
          <rPr>
            <sz val="9"/>
            <color indexed="81"/>
            <rFont val="Tahoma"/>
            <family val="2"/>
          </rPr>
          <t xml:space="preserve">
10,0 %
Source: Base Carbone ADEME
PRG/ PRG à 100 ans du 5èmè rapport du GEIC/ Principaux gaz à effet de serre(CO2, CH4 et NO2)
</t>
        </r>
      </text>
    </comment>
    <comment ref="Y18" authorId="0" shapeId="0">
      <text>
        <r>
          <rPr>
            <b/>
            <sz val="9"/>
            <color indexed="81"/>
            <rFont val="Tahoma"/>
            <family val="2"/>
          </rPr>
          <t>FLORES-GUTIERREZ Josue-Fernando:</t>
        </r>
        <r>
          <rPr>
            <sz val="9"/>
            <color indexed="81"/>
            <rFont val="Tahoma"/>
            <family val="2"/>
          </rPr>
          <t xml:space="preserve">
10,0 %
Source: Base Carbone ADEME
PRG/ PRG à 100 ans du 5èmè rapport du GEIC/ Principaux gaz à effet de serre(CO2, CH4 et NO2)
</t>
        </r>
      </text>
    </comment>
    <comment ref="AJ18" authorId="0" shapeId="0">
      <text>
        <r>
          <rPr>
            <b/>
            <sz val="9"/>
            <color indexed="81"/>
            <rFont val="Tahoma"/>
            <family val="2"/>
          </rPr>
          <t>FLORES-GUTIERREZ Josue-Fernando:</t>
        </r>
        <r>
          <rPr>
            <sz val="9"/>
            <color indexed="81"/>
            <rFont val="Tahoma"/>
            <family val="2"/>
          </rPr>
          <t xml:space="preserve">
10,0 %
Source: Base Carbone ADEME
PRG/ PRG à 100 ans du 5èmè rapport du GEIC/ Principaux gaz à effet de serre(CO2, CH4 et NO2)
</t>
        </r>
      </text>
    </comment>
    <comment ref="F19" authorId="0" shapeId="0">
      <text>
        <r>
          <rPr>
            <b/>
            <sz val="9"/>
            <color indexed="81"/>
            <rFont val="Tahoma"/>
            <family val="2"/>
          </rPr>
          <t>FLORES-GUTIERREZ Josue-Fernando:</t>
        </r>
        <r>
          <rPr>
            <sz val="9"/>
            <color indexed="81"/>
            <rFont val="Tahoma"/>
            <family val="2"/>
          </rPr>
          <t xml:space="preserve">
</t>
        </r>
        <r>
          <rPr>
            <b/>
            <sz val="9"/>
            <color indexed="81"/>
            <rFont val="Tahoma"/>
            <family val="2"/>
          </rPr>
          <t xml:space="preserve">3,47 kg de fluide / kg
</t>
        </r>
        <r>
          <rPr>
            <sz val="9"/>
            <color indexed="81"/>
            <rFont val="Tahoma"/>
            <family val="2"/>
          </rPr>
          <t xml:space="preserve">Divisé par 1000 pour obtenir des tonnes
Source: Base Carbone ADEME
Scope 1/ Combustible/ Fossiles/ Gazeux/ Propane et butane/ Propane - inclus maritime 
</t>
        </r>
      </text>
    </comment>
    <comment ref="M19" authorId="0" shapeId="0">
      <text>
        <r>
          <rPr>
            <b/>
            <sz val="9"/>
            <color indexed="81"/>
            <rFont val="Tahoma"/>
            <family val="2"/>
          </rPr>
          <t>FLORES-GUTIERREZ Josue-Fernando:</t>
        </r>
        <r>
          <rPr>
            <sz val="9"/>
            <color indexed="81"/>
            <rFont val="Tahoma"/>
            <family val="2"/>
          </rPr>
          <t xml:space="preserve">
5,00 %
Source: Base Carbone ADEME
Scope1/ Combustibles/ Fossiles/ Gazeux/ Propane et butane/ Propane - inclus maritime/ Afficher détails
</t>
        </r>
      </text>
    </comment>
    <comment ref="P19" authorId="1" shapeId="0">
      <text>
        <r>
          <rPr>
            <b/>
            <sz val="9"/>
            <color indexed="81"/>
            <rFont val="Tahoma"/>
            <family val="2"/>
          </rPr>
          <t>LETANG Kristell:</t>
        </r>
        <r>
          <rPr>
            <sz val="9"/>
            <color indexed="81"/>
            <rFont val="Tahoma"/>
            <family val="2"/>
          </rPr>
          <t xml:space="preserve">
Facteur de 2010</t>
        </r>
      </text>
    </comment>
    <comment ref="Q19" authorId="0" shapeId="0">
      <text>
        <r>
          <rPr>
            <b/>
            <sz val="9"/>
            <color indexed="81"/>
            <rFont val="Tahoma"/>
            <family val="2"/>
          </rPr>
          <t>FLORES-GUTIERREZ Josue-Fernando:</t>
        </r>
        <r>
          <rPr>
            <sz val="9"/>
            <color indexed="81"/>
            <rFont val="Tahoma"/>
            <family val="2"/>
          </rPr>
          <t xml:space="preserve">
</t>
        </r>
        <r>
          <rPr>
            <b/>
            <sz val="9"/>
            <color indexed="81"/>
            <rFont val="Tahoma"/>
            <family val="2"/>
          </rPr>
          <t xml:space="preserve">3,47 kg de fluide / kg
</t>
        </r>
        <r>
          <rPr>
            <sz val="9"/>
            <color indexed="81"/>
            <rFont val="Tahoma"/>
            <family val="2"/>
          </rPr>
          <t xml:space="preserve">Divisé par 1000 pour obtenir des tonnes
Source: Base Carbone ADEME
Scope 1/ Combustible/ Fossiles/ Gazeux/ Propane et butane/ Propane - inclus maritime 
</t>
        </r>
      </text>
    </comment>
    <comment ref="Y19" authorId="0" shapeId="0">
      <text>
        <r>
          <rPr>
            <b/>
            <sz val="9"/>
            <color indexed="81"/>
            <rFont val="Tahoma"/>
            <family val="2"/>
          </rPr>
          <t>FLORES-GUTIERREZ Josue-Fernando:</t>
        </r>
        <r>
          <rPr>
            <sz val="9"/>
            <color indexed="81"/>
            <rFont val="Tahoma"/>
            <family val="2"/>
          </rPr>
          <t xml:space="preserve">
5,00 %
Source: Base Carbone ADEME
Scope1/ Combustibles/ Fossiles/ Gazeux/ Propane et butane/ Propane - inclus maritime/ Afficher détails
</t>
        </r>
      </text>
    </comment>
    <comment ref="AB19" authorId="0" shapeId="0">
      <text>
        <r>
          <rPr>
            <b/>
            <sz val="9"/>
            <color indexed="81"/>
            <rFont val="Tahoma"/>
            <family val="2"/>
          </rPr>
          <t>FLORES-GUTIERREZ Josue-Fernando:</t>
        </r>
        <r>
          <rPr>
            <sz val="9"/>
            <color indexed="81"/>
            <rFont val="Tahoma"/>
            <family val="2"/>
          </rPr>
          <t xml:space="preserve">
</t>
        </r>
        <r>
          <rPr>
            <b/>
            <sz val="9"/>
            <color indexed="81"/>
            <rFont val="Tahoma"/>
            <family val="2"/>
          </rPr>
          <t xml:space="preserve">3,47 kg de fluide / kg
</t>
        </r>
        <r>
          <rPr>
            <sz val="9"/>
            <color indexed="81"/>
            <rFont val="Tahoma"/>
            <family val="2"/>
          </rPr>
          <t xml:space="preserve">Divisé par 1000 pour obtenir des tonnes
Source: Base Carbone ADEME
Scope 1/ Combustible/ Fossiles/ Gazeux/ Propane et butane/ Propane - inclus maritime 
</t>
        </r>
      </text>
    </comment>
    <comment ref="AJ19" authorId="0" shapeId="0">
      <text>
        <r>
          <rPr>
            <b/>
            <sz val="9"/>
            <color indexed="81"/>
            <rFont val="Tahoma"/>
            <family val="2"/>
          </rPr>
          <t>FLORES-GUTIERREZ Josue-Fernando:</t>
        </r>
        <r>
          <rPr>
            <sz val="9"/>
            <color indexed="81"/>
            <rFont val="Tahoma"/>
            <family val="2"/>
          </rPr>
          <t xml:space="preserve">
5,00 %
Source: Base Carbone ADEME
Scope1/ Combustibles/ Fossiles/ Gazeux/ Propane et butane/ Propane - inclus maritime/ Afficher détails
</t>
        </r>
      </text>
    </comment>
    <comment ref="M20" authorId="0" shapeId="0">
      <text>
        <r>
          <rPr>
            <b/>
            <sz val="9"/>
            <color indexed="81"/>
            <rFont val="Tahoma"/>
            <family val="2"/>
          </rPr>
          <t>FLORES-GUTIERREZ Josue-Fernando:</t>
        </r>
        <r>
          <rPr>
            <sz val="9"/>
            <color indexed="81"/>
            <rFont val="Tahoma"/>
            <family val="2"/>
          </rPr>
          <t xml:space="preserve">
30,0 %
Source: Base Carbone ADEME
PRG/ PRG à 100 ans du 5èmè rapport du GEIC/ Principaux gaz à effet de serre fluorés/ SF6 -PRG à 100ans/ Afficher détails
</t>
        </r>
      </text>
    </comment>
    <comment ref="Y20" authorId="0" shapeId="0">
      <text>
        <r>
          <rPr>
            <b/>
            <sz val="9"/>
            <color indexed="81"/>
            <rFont val="Tahoma"/>
            <family val="2"/>
          </rPr>
          <t>FLORES-GUTIERREZ Josue-Fernando:</t>
        </r>
        <r>
          <rPr>
            <sz val="9"/>
            <color indexed="81"/>
            <rFont val="Tahoma"/>
            <family val="2"/>
          </rPr>
          <t xml:space="preserve">
30,0 %
Source: Base Carbone ADEME
PRG/ PRG à 100 ans du 5èmè rapport du GEIC/ Principaux gaz à effet de serre fluorés/ SF6 -PRG à 100ans/ Afficher détails
</t>
        </r>
      </text>
    </comment>
    <comment ref="AJ20" authorId="0" shapeId="0">
      <text>
        <r>
          <rPr>
            <b/>
            <sz val="9"/>
            <color indexed="81"/>
            <rFont val="Tahoma"/>
            <family val="2"/>
          </rPr>
          <t>FLORES-GUTIERREZ Josue-Fernando:</t>
        </r>
        <r>
          <rPr>
            <sz val="9"/>
            <color indexed="81"/>
            <rFont val="Tahoma"/>
            <family val="2"/>
          </rPr>
          <t xml:space="preserve">
30,0 %
Source: Base Carbone ADEME
PRG/ PRG à 100 ans du 5èmè rapport du GEIC/ Principaux gaz à effet de serre fluorés/ SF6 -PRG à 100ans/ Afficher détails
</t>
        </r>
      </text>
    </comment>
    <comment ref="M21" authorId="0" shapeId="0">
      <text>
        <r>
          <rPr>
            <b/>
            <sz val="9"/>
            <color indexed="81"/>
            <rFont val="Tahoma"/>
            <family val="2"/>
          </rPr>
          <t>FLORES-GUTIERREZ Josue-Fernando:</t>
        </r>
        <r>
          <rPr>
            <sz val="9"/>
            <color indexed="81"/>
            <rFont val="Tahoma"/>
            <family val="2"/>
          </rPr>
          <t xml:space="preserve">
30,0 %
Source: Base Carbone ADEME
PRG/ PRG à 100 ans du 5èmè rapport du GEIC/ Principaux gaz à effet de serre fluorés/ R23 -PRG à 100 ans/ Afficher détails</t>
        </r>
      </text>
    </comment>
    <comment ref="Y21" authorId="0" shapeId="0">
      <text>
        <r>
          <rPr>
            <b/>
            <sz val="9"/>
            <color indexed="81"/>
            <rFont val="Tahoma"/>
            <family val="2"/>
          </rPr>
          <t>FLORES-GUTIERREZ Josue-Fernando:</t>
        </r>
        <r>
          <rPr>
            <sz val="9"/>
            <color indexed="81"/>
            <rFont val="Tahoma"/>
            <family val="2"/>
          </rPr>
          <t xml:space="preserve">
30,0 %
Source: Base Carbone ADEME
PRG/ PRG à 100 ans du 5èmè rapport du GEIC/ Principaux gaz à effet de serre fluorés/ R23 -PRG à 100 ans/ Afficher détails</t>
        </r>
      </text>
    </comment>
    <comment ref="AJ21" authorId="0" shapeId="0">
      <text>
        <r>
          <rPr>
            <b/>
            <sz val="9"/>
            <color indexed="81"/>
            <rFont val="Tahoma"/>
            <family val="2"/>
          </rPr>
          <t>FLORES-GUTIERREZ Josue-Fernando:</t>
        </r>
        <r>
          <rPr>
            <sz val="9"/>
            <color indexed="81"/>
            <rFont val="Tahoma"/>
            <family val="2"/>
          </rPr>
          <t xml:space="preserve">
30,0 %
Source: Base Carbone ADEME
PRG/ PRG à 100 ans du 5èmè rapport du GEIC/ Principaux gaz à effet de serre fluorés/ R23 -PRG à 100 ans/ Afficher détails</t>
        </r>
      </text>
    </comment>
    <comment ref="F22" authorId="0" shapeId="0">
      <text>
        <r>
          <rPr>
            <b/>
            <sz val="9"/>
            <color indexed="81"/>
            <rFont val="Tahoma"/>
            <family val="2"/>
          </rPr>
          <t>FLORES-GUTIERREZ Josue-Fernando:</t>
        </r>
        <r>
          <rPr>
            <sz val="9"/>
            <color indexed="81"/>
            <rFont val="Tahoma"/>
            <family val="2"/>
          </rPr>
          <t xml:space="preserve">
Reprise du facteur recalculé par NG 2014
*Hypothese 
50% est rejeté a l'atm comme CH4 et l'autre-
50% comme C02</t>
        </r>
      </text>
    </comment>
    <comment ref="M22" authorId="0" shapeId="0">
      <text>
        <r>
          <rPr>
            <b/>
            <sz val="9"/>
            <color indexed="81"/>
            <rFont val="Tahoma"/>
            <family val="2"/>
          </rPr>
          <t>FLORES-GUTIERREZ Josue-Fernando:</t>
        </r>
        <r>
          <rPr>
            <sz val="9"/>
            <color indexed="81"/>
            <rFont val="Tahoma"/>
            <family val="2"/>
          </rPr>
          <t xml:space="preserve">
30,0 % pour le FE CO2 et 30% pour le FE CH4
Source: Base Carbone ADEME
PRG/ PRG à 100 ans du 5èmè rapport du GEIC/ Principaux gaz à effet de serre(CO2, CH4 et NO2)</t>
        </r>
      </text>
    </comment>
    <comment ref="P22" authorId="1" shapeId="0">
      <text>
        <r>
          <rPr>
            <b/>
            <sz val="9"/>
            <color indexed="81"/>
            <rFont val="Tahoma"/>
            <family val="2"/>
          </rPr>
          <t>LETANG Kristell:</t>
        </r>
        <r>
          <rPr>
            <sz val="9"/>
            <color indexed="81"/>
            <rFont val="Tahoma"/>
            <family val="2"/>
          </rPr>
          <t xml:space="preserve">
Facteur recalculé par Natacha Gondran</t>
        </r>
      </text>
    </comment>
    <comment ref="Q22" authorId="0" shapeId="0">
      <text>
        <r>
          <rPr>
            <b/>
            <sz val="9"/>
            <color indexed="81"/>
            <rFont val="Tahoma"/>
            <family val="2"/>
          </rPr>
          <t>FLORES-GUTIERREZ Josue-Fernando:</t>
        </r>
        <r>
          <rPr>
            <sz val="9"/>
            <color indexed="81"/>
            <rFont val="Tahoma"/>
            <family val="2"/>
          </rPr>
          <t xml:space="preserve">
Reprise du facteur recalculé par NG 2014
*Hypothese 
50% est rejeté a l'atm comme CH4 et l'autre-
50% comme C02</t>
        </r>
      </text>
    </comment>
    <comment ref="Y22" authorId="0" shapeId="0">
      <text>
        <r>
          <rPr>
            <b/>
            <sz val="9"/>
            <color indexed="81"/>
            <rFont val="Tahoma"/>
            <family val="2"/>
          </rPr>
          <t>FLORES-GUTIERREZ Josue-Fernando:</t>
        </r>
        <r>
          <rPr>
            <sz val="9"/>
            <color indexed="81"/>
            <rFont val="Tahoma"/>
            <family val="2"/>
          </rPr>
          <t xml:space="preserve">
30,0 % pour le FE CO2 et 30% pour le FE CH4
Source: Base Carbone ADEME
PRG/ PRG à 100 ans du 5èmè rapport du GEIC/ Principaux gaz à effet de serre(CO2, CH4 et NO2)</t>
        </r>
      </text>
    </comment>
    <comment ref="AB22" authorId="0" shapeId="0">
      <text>
        <r>
          <rPr>
            <b/>
            <sz val="9"/>
            <color indexed="81"/>
            <rFont val="Tahoma"/>
            <family val="2"/>
          </rPr>
          <t>FLORES-GUTIERREZ Josue-Fernando:</t>
        </r>
        <r>
          <rPr>
            <sz val="9"/>
            <color indexed="81"/>
            <rFont val="Tahoma"/>
            <family val="2"/>
          </rPr>
          <t xml:space="preserve">
Reprise du facteur recalculé par NG 2014
*Hypothese 
50% est rejeté a l'atm comme CH4 et l'autre-
50% comme C02</t>
        </r>
      </text>
    </comment>
    <comment ref="AJ22" authorId="0" shapeId="0">
      <text>
        <r>
          <rPr>
            <b/>
            <sz val="9"/>
            <color indexed="81"/>
            <rFont val="Tahoma"/>
            <family val="2"/>
          </rPr>
          <t>FLORES-GUTIERREZ Josue-Fernando:</t>
        </r>
        <r>
          <rPr>
            <sz val="9"/>
            <color indexed="81"/>
            <rFont val="Tahoma"/>
            <family val="2"/>
          </rPr>
          <t xml:space="preserve">
30,0 % pour le FE CO2 et 30% pour le FE CH4
Source: Base Carbone ADEME
PRG/ PRG à 100 ans du 5èmè rapport du GEIC/ Principaux gaz à effet de serre(CO2, CH4 et NO2)</t>
        </r>
      </text>
    </comment>
    <comment ref="M23" authorId="0" shapeId="0">
      <text>
        <r>
          <rPr>
            <b/>
            <sz val="9"/>
            <color indexed="81"/>
            <rFont val="Tahoma"/>
            <family val="2"/>
          </rPr>
          <t>FLORES-GUTIERREZ Josue-Fernando:</t>
        </r>
        <r>
          <rPr>
            <sz val="9"/>
            <color indexed="81"/>
            <rFont val="Tahoma"/>
            <family val="2"/>
          </rPr>
          <t xml:space="preserve">
10,0 %
Source: Base Carbone ADEME
PRG/ PRG à 100 ans du 5èmè rapport du GEIC/ Principaux gaz à effet de serre(CO2, CH4 et NO2)
</t>
        </r>
      </text>
    </comment>
    <comment ref="Y23" authorId="0" shapeId="0">
      <text>
        <r>
          <rPr>
            <b/>
            <sz val="9"/>
            <color indexed="81"/>
            <rFont val="Tahoma"/>
            <family val="2"/>
          </rPr>
          <t>FLORES-GUTIERREZ Josue-Fernando:</t>
        </r>
        <r>
          <rPr>
            <sz val="9"/>
            <color indexed="81"/>
            <rFont val="Tahoma"/>
            <family val="2"/>
          </rPr>
          <t xml:space="preserve">
10,0 %
Source: Base Carbone ADEME
PRG/ PRG à 100 ans du 5èmè rapport du GEIC/ Principaux gaz à effet de serre(CO2, CH4 et NO2)
</t>
        </r>
      </text>
    </comment>
    <comment ref="AJ23" authorId="0" shapeId="0">
      <text>
        <r>
          <rPr>
            <b/>
            <sz val="9"/>
            <color indexed="81"/>
            <rFont val="Tahoma"/>
            <family val="2"/>
          </rPr>
          <t>FLORES-GUTIERREZ Josue-Fernando:</t>
        </r>
        <r>
          <rPr>
            <sz val="9"/>
            <color indexed="81"/>
            <rFont val="Tahoma"/>
            <family val="2"/>
          </rPr>
          <t xml:space="preserve">
10,0 %
Source: Base Carbone ADEME
PRG/ PRG à 100 ans du 5èmè rapport du GEIC/ Principaux gaz à effet de serre(CO2, CH4 et NO2)
</t>
        </r>
      </text>
    </comment>
    <comment ref="F24" authorId="0" shapeId="0">
      <text>
        <r>
          <rPr>
            <b/>
            <sz val="9"/>
            <color indexed="81"/>
            <rFont val="Tahoma"/>
            <family val="2"/>
          </rPr>
          <t>FLORES-GUTIERREZ Josue-Fernando:</t>
        </r>
        <r>
          <rPr>
            <sz val="9"/>
            <color indexed="81"/>
            <rFont val="Tahoma"/>
            <family val="2"/>
          </rPr>
          <t xml:space="preserve">
</t>
        </r>
        <r>
          <rPr>
            <b/>
            <sz val="9"/>
            <color indexed="81"/>
            <rFont val="Tahoma"/>
            <family val="2"/>
          </rPr>
          <t xml:space="preserve">3,47 kg de fluide / kg
</t>
        </r>
        <r>
          <rPr>
            <sz val="9"/>
            <color indexed="81"/>
            <rFont val="Tahoma"/>
            <family val="2"/>
          </rPr>
          <t xml:space="preserve">Divisé par 1000 pour obtenir des tonnes
Source: Base Carbone ADEME
Scope 1/ Combustible/ Fossiles/ Gazeux/ Propane et butane/ Propane - inclus maritime 
</t>
        </r>
      </text>
    </comment>
    <comment ref="M24" authorId="0" shapeId="0">
      <text>
        <r>
          <rPr>
            <b/>
            <sz val="9"/>
            <color indexed="81"/>
            <rFont val="Tahoma"/>
            <family val="2"/>
          </rPr>
          <t>FLORES-GUTIERREZ Josue-Fernando:</t>
        </r>
        <r>
          <rPr>
            <sz val="9"/>
            <color indexed="81"/>
            <rFont val="Tahoma"/>
            <family val="2"/>
          </rPr>
          <t xml:space="preserve">
5,00 %
Source: Base Carbone ADEME
Scope1/ Combustibles/ Fossiles/ Gazeux/ Propane et butane/ Propane - inclus maritime/ Afficher détails
</t>
        </r>
      </text>
    </comment>
    <comment ref="P24" authorId="1" shapeId="0">
      <text>
        <r>
          <rPr>
            <b/>
            <sz val="9"/>
            <color indexed="81"/>
            <rFont val="Tahoma"/>
            <family val="2"/>
          </rPr>
          <t>LETANG Kristell:</t>
        </r>
        <r>
          <rPr>
            <sz val="9"/>
            <color indexed="81"/>
            <rFont val="Tahoma"/>
            <family val="2"/>
          </rPr>
          <t xml:space="preserve">
Facteur de 2010</t>
        </r>
      </text>
    </comment>
    <comment ref="Q24" authorId="0" shapeId="0">
      <text>
        <r>
          <rPr>
            <b/>
            <sz val="9"/>
            <color indexed="81"/>
            <rFont val="Tahoma"/>
            <family val="2"/>
          </rPr>
          <t>FLORES-GUTIERREZ Josue-Fernando:</t>
        </r>
        <r>
          <rPr>
            <sz val="9"/>
            <color indexed="81"/>
            <rFont val="Tahoma"/>
            <family val="2"/>
          </rPr>
          <t xml:space="preserve">
</t>
        </r>
        <r>
          <rPr>
            <b/>
            <sz val="9"/>
            <color indexed="81"/>
            <rFont val="Tahoma"/>
            <family val="2"/>
          </rPr>
          <t xml:space="preserve">3,47 kg de fluide / kg
</t>
        </r>
        <r>
          <rPr>
            <sz val="9"/>
            <color indexed="81"/>
            <rFont val="Tahoma"/>
            <family val="2"/>
          </rPr>
          <t xml:space="preserve">Divisé par 1000 pour obtenir des tonnes
Source: Base Carbone ADEME
Scope 1/ Combustible/ Fossiles/ Gazeux/ Propane et butane/ Propane - inclus maritime 
</t>
        </r>
      </text>
    </comment>
    <comment ref="Y24" authorId="0" shapeId="0">
      <text>
        <r>
          <rPr>
            <b/>
            <sz val="9"/>
            <color indexed="81"/>
            <rFont val="Tahoma"/>
            <family val="2"/>
          </rPr>
          <t>FLORES-GUTIERREZ Josue-Fernando:</t>
        </r>
        <r>
          <rPr>
            <sz val="9"/>
            <color indexed="81"/>
            <rFont val="Tahoma"/>
            <family val="2"/>
          </rPr>
          <t xml:space="preserve">
5,00 %
Source: Base Carbone ADEME
Scope1/ Combustibles/ Fossiles/ Gazeux/ Propane et butane/ Propane - inclus maritime/ Afficher détails
</t>
        </r>
      </text>
    </comment>
    <comment ref="AB24" authorId="0" shapeId="0">
      <text>
        <r>
          <rPr>
            <b/>
            <sz val="9"/>
            <color indexed="81"/>
            <rFont val="Tahoma"/>
            <family val="2"/>
          </rPr>
          <t>FLORES-GUTIERREZ Josue-Fernando:</t>
        </r>
        <r>
          <rPr>
            <sz val="9"/>
            <color indexed="81"/>
            <rFont val="Tahoma"/>
            <family val="2"/>
          </rPr>
          <t xml:space="preserve">
</t>
        </r>
        <r>
          <rPr>
            <b/>
            <sz val="9"/>
            <color indexed="81"/>
            <rFont val="Tahoma"/>
            <family val="2"/>
          </rPr>
          <t xml:space="preserve">3,47 kg de fluide / kg
</t>
        </r>
        <r>
          <rPr>
            <sz val="9"/>
            <color indexed="81"/>
            <rFont val="Tahoma"/>
            <family val="2"/>
          </rPr>
          <t xml:space="preserve">Divisé par 1000 pour obtenir des tonnes
Source: Base Carbone ADEME
Scope 1/ Combustible/ Fossiles/ Gazeux/ Propane et butane/ Propane - inclus maritime 
</t>
        </r>
      </text>
    </comment>
    <comment ref="AJ24" authorId="0" shapeId="0">
      <text>
        <r>
          <rPr>
            <b/>
            <sz val="9"/>
            <color indexed="81"/>
            <rFont val="Tahoma"/>
            <family val="2"/>
          </rPr>
          <t>FLORES-GUTIERREZ Josue-Fernando:</t>
        </r>
        <r>
          <rPr>
            <sz val="9"/>
            <color indexed="81"/>
            <rFont val="Tahoma"/>
            <family val="2"/>
          </rPr>
          <t xml:space="preserve">
5,00 %
Source: Base Carbone ADEME
Scope1/ Combustibles/ Fossiles/ Gazeux/ Propane et butane/ Propane - inclus maritime/ Afficher détails
</t>
        </r>
      </text>
    </comment>
    <comment ref="F27" authorId="0" shapeId="0">
      <text>
        <r>
          <rPr>
            <b/>
            <sz val="9"/>
            <color indexed="81"/>
            <rFont val="Tahoma"/>
            <family val="2"/>
          </rPr>
          <t>FLORES-GUTIERREZ Josue-Fernando:</t>
        </r>
        <r>
          <rPr>
            <sz val="9"/>
            <color indexed="81"/>
            <rFont val="Tahoma"/>
            <family val="2"/>
          </rPr>
          <t xml:space="preserve">
</t>
        </r>
        <r>
          <rPr>
            <b/>
            <sz val="9"/>
            <color indexed="81"/>
            <rFont val="Tahoma"/>
            <family val="2"/>
          </rPr>
          <t xml:space="preserve">0,0647 KgCO2e/Kwh
</t>
        </r>
        <r>
          <rPr>
            <sz val="9"/>
            <color indexed="81"/>
            <rFont val="Tahoma"/>
            <family val="2"/>
          </rPr>
          <t xml:space="preserve">Valeur de 2016 prise, car il n'y a pas de valeur pour 2017.
Divisée par 1000 pour la rendre en tonnes.
Source: Base Carbone ADEME
Scope 2/ Electricité/ Mix réseaux électrique/ France continental/ Moyen/ Electricité 2016- mix moyen consommation </t>
        </r>
      </text>
    </comment>
    <comment ref="M27" authorId="0" shapeId="0">
      <text>
        <r>
          <rPr>
            <b/>
            <sz val="9"/>
            <color indexed="81"/>
            <rFont val="Tahoma"/>
            <family val="2"/>
          </rPr>
          <t>FLORES-GUTIERREZ Josue-Fernando:</t>
        </r>
        <r>
          <rPr>
            <sz val="9"/>
            <color indexed="81"/>
            <rFont val="Tahoma"/>
            <family val="2"/>
          </rPr>
          <t xml:space="preserve">
10,0%
Valeur de 2016 prise, car il n'y a pas de valeur pour 2017.
Source: Base Carbone ADEME
Scope 2/ Electricité/ Mix réseaux électrique/ France continental/ Moyen/ Electricité 2016- mix moyen consommation / Afficher détails.</t>
        </r>
      </text>
    </comment>
    <comment ref="P27" authorId="1" shapeId="0">
      <text>
        <r>
          <rPr>
            <b/>
            <sz val="9"/>
            <color indexed="81"/>
            <rFont val="Tahoma"/>
            <family val="2"/>
          </rPr>
          <t>LETANG Kristell:</t>
        </r>
        <r>
          <rPr>
            <sz val="9"/>
            <color indexed="81"/>
            <rFont val="Tahoma"/>
            <family val="2"/>
          </rPr>
          <t xml:space="preserve">
KgCO2e/Kwh
Electricité 2014 mix moyen consommation
Divisé par 1000 pour obtenir des tonnes</t>
        </r>
      </text>
    </comment>
    <comment ref="Q27" authorId="0" shapeId="0">
      <text>
        <r>
          <rPr>
            <b/>
            <sz val="9"/>
            <color indexed="81"/>
            <rFont val="Tahoma"/>
            <family val="2"/>
          </rPr>
          <t>FLORES-GUTIERREZ Josue-Fernando:</t>
        </r>
        <r>
          <rPr>
            <sz val="9"/>
            <color indexed="81"/>
            <rFont val="Tahoma"/>
            <family val="2"/>
          </rPr>
          <t xml:space="preserve">
</t>
        </r>
        <r>
          <rPr>
            <b/>
            <sz val="9"/>
            <color indexed="81"/>
            <rFont val="Tahoma"/>
            <family val="2"/>
          </rPr>
          <t xml:space="preserve">0,0647 KgCO2e/Kwh
</t>
        </r>
        <r>
          <rPr>
            <sz val="9"/>
            <color indexed="81"/>
            <rFont val="Tahoma"/>
            <family val="2"/>
          </rPr>
          <t xml:space="preserve">Valeur de 2016 prise, car il n'y a pas de valeur pour 2017.
Divisée par 1000 pour la rendre en tonnes.
Source: Base Carbone ADEME
Scope 2/ Electricité/ Mix réseaux électrique/ France continental/ Moyen/ Electricité 2016- mix moyen consommation </t>
        </r>
      </text>
    </comment>
    <comment ref="Y27" authorId="0" shapeId="0">
      <text>
        <r>
          <rPr>
            <b/>
            <sz val="9"/>
            <color indexed="81"/>
            <rFont val="Tahoma"/>
            <family val="2"/>
          </rPr>
          <t>FLORES-GUTIERREZ Josue-Fernando:</t>
        </r>
        <r>
          <rPr>
            <sz val="9"/>
            <color indexed="81"/>
            <rFont val="Tahoma"/>
            <family val="2"/>
          </rPr>
          <t xml:space="preserve">
10,0%
Valeur de 2016 prise, car il n'y a pas de valeur pour 2017.
Source: Base Carbone ADEME
Scope 2/ Electricité/ Mix réseaux électrique/ France continental/ Moyen/ Electricité 2016- mix moyen consommation / Afficher détails.</t>
        </r>
      </text>
    </comment>
    <comment ref="AB27" authorId="0" shapeId="0">
      <text>
        <r>
          <rPr>
            <b/>
            <sz val="9"/>
            <color indexed="81"/>
            <rFont val="Tahoma"/>
            <family val="2"/>
          </rPr>
          <t>FLORES-GUTIERREZ Josue-Fernando:</t>
        </r>
        <r>
          <rPr>
            <sz val="9"/>
            <color indexed="81"/>
            <rFont val="Tahoma"/>
            <family val="2"/>
          </rPr>
          <t xml:space="preserve">
</t>
        </r>
        <r>
          <rPr>
            <b/>
            <sz val="9"/>
            <color indexed="81"/>
            <rFont val="Tahoma"/>
            <family val="2"/>
          </rPr>
          <t xml:space="preserve">0,0647 KgCO2e/Kwh
</t>
        </r>
        <r>
          <rPr>
            <sz val="9"/>
            <color indexed="81"/>
            <rFont val="Tahoma"/>
            <family val="2"/>
          </rPr>
          <t xml:space="preserve">Valeur de 2016 prise, car il n'y a pas de valeur pour 2017.
Divisée par 1000 pour la rendre en tonnes.
Source: Base Carbone ADEME
Scope 2/ Electricité/ Mix réseaux électrique/ France continental/ Moyen/ Electricité 2016- mix moyen consommation </t>
        </r>
      </text>
    </comment>
    <comment ref="AJ27" authorId="0" shapeId="0">
      <text>
        <r>
          <rPr>
            <b/>
            <sz val="9"/>
            <color indexed="81"/>
            <rFont val="Tahoma"/>
            <family val="2"/>
          </rPr>
          <t>FLORES-GUTIERREZ Josue-Fernando:</t>
        </r>
        <r>
          <rPr>
            <sz val="9"/>
            <color indexed="81"/>
            <rFont val="Tahoma"/>
            <family val="2"/>
          </rPr>
          <t xml:space="preserve">
10,0%
Valeur de 2016 prise, car il n'y a pas de valeur pour 2017.
Source: Base Carbone ADEME
Scope 2/ Electricité/ Mix réseaux électrique/ France continental/ Moyen/ Electricité 2016- mix moyen consommation / Afficher détails.</t>
        </r>
      </text>
    </comment>
    <comment ref="Q28" authorId="0" shapeId="0">
      <text>
        <r>
          <rPr>
            <b/>
            <sz val="9"/>
            <color indexed="81"/>
            <rFont val="Tahoma"/>
            <family val="2"/>
          </rPr>
          <t>FLORES-GUTIERREZ Josue-Fernando:</t>
        </r>
        <r>
          <rPr>
            <sz val="9"/>
            <color indexed="81"/>
            <rFont val="Tahoma"/>
            <family val="2"/>
          </rPr>
          <t xml:space="preserve">
</t>
        </r>
        <r>
          <rPr>
            <b/>
            <sz val="9"/>
            <color indexed="81"/>
            <rFont val="Tahoma"/>
            <family val="2"/>
          </rPr>
          <t xml:space="preserve">0,0647 KgCO2e/Kwh
</t>
        </r>
        <r>
          <rPr>
            <sz val="9"/>
            <color indexed="81"/>
            <rFont val="Tahoma"/>
            <family val="2"/>
          </rPr>
          <t xml:space="preserve">Valeur de 2016 prise, car il n'y a pas de valeur pour 2017.
Divisée par 1000 pour la rendre en tonnes.
Source: Base Carbone ADEME
Scope 2/ Electricité/ Mix réseaux électrique/ France continental/ Moyen/ Electricité 2016- mix moyen consommation </t>
        </r>
      </text>
    </comment>
    <comment ref="AB28" authorId="0" shapeId="0">
      <text>
        <r>
          <rPr>
            <b/>
            <sz val="9"/>
            <color indexed="81"/>
            <rFont val="Tahoma"/>
            <family val="2"/>
          </rPr>
          <t>FLORES-GUTIERREZ Josue-Fernando:</t>
        </r>
        <r>
          <rPr>
            <sz val="9"/>
            <color indexed="81"/>
            <rFont val="Tahoma"/>
            <family val="2"/>
          </rPr>
          <t xml:space="preserve">
</t>
        </r>
        <r>
          <rPr>
            <b/>
            <sz val="9"/>
            <color indexed="81"/>
            <rFont val="Tahoma"/>
            <family val="2"/>
          </rPr>
          <t xml:space="preserve">0,0647 KgCO2e/Kwh
</t>
        </r>
        <r>
          <rPr>
            <sz val="9"/>
            <color indexed="81"/>
            <rFont val="Tahoma"/>
            <family val="2"/>
          </rPr>
          <t xml:space="preserve">Valeur de 2016 prise, car il n'y a pas de valeur pour 2017.
Divisée par 1000 pour la rendre en tonnes.
Source: Base Carbone ADEME
Scope 2/ Electricité/ Mix réseaux électrique/ France continental/ Moyen/ Electricité 2016- mix moyen consommation </t>
        </r>
      </text>
    </comment>
    <comment ref="AJ28" authorId="0" shapeId="0">
      <text>
        <r>
          <rPr>
            <b/>
            <sz val="9"/>
            <color indexed="81"/>
            <rFont val="Tahoma"/>
            <family val="2"/>
          </rPr>
          <t>FLORES-GUTIERREZ Josue-Fernando:</t>
        </r>
        <r>
          <rPr>
            <sz val="9"/>
            <color indexed="81"/>
            <rFont val="Tahoma"/>
            <family val="2"/>
          </rPr>
          <t xml:space="preserve">
10,0%
Valeur de 2016 prise, car il n'y a pas de valeur pour 2017.
Source: Base Carbone ADEME
Scope 2/ Electricité/ Mix réseaux électrique/ France continental/ Moyen/ Electricité 2016- mix moyen consommation / Afficher détails.</t>
        </r>
      </text>
    </comment>
    <comment ref="F29" authorId="0" shapeId="0">
      <text>
        <r>
          <rPr>
            <b/>
            <sz val="9"/>
            <color indexed="81"/>
            <rFont val="Tahoma"/>
            <family val="2"/>
          </rPr>
          <t>FLORES-GUTIERREZ Josue-Fernando:</t>
        </r>
        <r>
          <rPr>
            <sz val="9"/>
            <color indexed="81"/>
            <rFont val="Tahoma"/>
            <family val="2"/>
          </rPr>
          <t xml:space="preserve">
</t>
        </r>
        <r>
          <rPr>
            <b/>
            <sz val="9"/>
            <color indexed="81"/>
            <rFont val="Tahoma"/>
            <family val="2"/>
          </rPr>
          <t xml:space="preserve">0,0647 KgCO2e/Kwh
</t>
        </r>
        <r>
          <rPr>
            <sz val="9"/>
            <color indexed="81"/>
            <rFont val="Tahoma"/>
            <family val="2"/>
          </rPr>
          <t xml:space="preserve">Valeur de 2016 prise, car il n'y a pas de valeur pour 2017.
Divisée par 1000 pour la rendre en tonnes.
Source: Base Carbone ADEME
Scope 2/ Electricité/ Mix réseaux électrique/ France continental/ Moyen/ Electricité 2016- mix moyen consommation </t>
        </r>
      </text>
    </comment>
    <comment ref="M29" authorId="0" shapeId="0">
      <text>
        <r>
          <rPr>
            <b/>
            <sz val="9"/>
            <color indexed="81"/>
            <rFont val="Tahoma"/>
            <family val="2"/>
          </rPr>
          <t>FLORES-GUTIERREZ Josue-Fernando:</t>
        </r>
        <r>
          <rPr>
            <sz val="9"/>
            <color indexed="81"/>
            <rFont val="Tahoma"/>
            <family val="2"/>
          </rPr>
          <t xml:space="preserve">
10,0%
Valeur de 2016 prise, car il n'y a pas de valeur pour 2017.
Source: Base Carbone ADEME
Scope 2/ Electricité/ Mix réseaux électrique/ France continental/ Moyen/ Electricité 2016- mix moyen consommation / Afficher détails.</t>
        </r>
      </text>
    </comment>
    <comment ref="P29" authorId="1" shapeId="0">
      <text>
        <r>
          <rPr>
            <b/>
            <sz val="9"/>
            <color indexed="81"/>
            <rFont val="Tahoma"/>
            <family val="2"/>
          </rPr>
          <t>LETANG Kristell:</t>
        </r>
        <r>
          <rPr>
            <sz val="9"/>
            <color indexed="81"/>
            <rFont val="Tahoma"/>
            <family val="2"/>
          </rPr>
          <t xml:space="preserve">
Electricité 2014 mix moyen consommation
KgCO2e/Kwh
Divisé par 1000 pour obtenir des tonnes</t>
        </r>
      </text>
    </comment>
    <comment ref="Q29" authorId="0" shapeId="0">
      <text>
        <r>
          <rPr>
            <b/>
            <sz val="9"/>
            <color indexed="81"/>
            <rFont val="Tahoma"/>
            <family val="2"/>
          </rPr>
          <t>FLORES-GUTIERREZ Josue-Fernando:</t>
        </r>
        <r>
          <rPr>
            <sz val="9"/>
            <color indexed="81"/>
            <rFont val="Tahoma"/>
            <family val="2"/>
          </rPr>
          <t xml:space="preserve">
</t>
        </r>
        <r>
          <rPr>
            <b/>
            <sz val="9"/>
            <color indexed="81"/>
            <rFont val="Tahoma"/>
            <family val="2"/>
          </rPr>
          <t xml:space="preserve">0,0647 KgCO2e/Kwh
</t>
        </r>
        <r>
          <rPr>
            <sz val="9"/>
            <color indexed="81"/>
            <rFont val="Tahoma"/>
            <family val="2"/>
          </rPr>
          <t xml:space="preserve">Valeur de 2016 prise, car il n'y a pas de valeur pour 2017.
Divisée par 1000 pour la rendre en tonnes.
Source: Base Carbone ADEME
Scope 2/ Electricité/ Mix réseaux électrique/ France continental/ Moyen/ Electricité 2016- mix moyen consommation </t>
        </r>
      </text>
    </comment>
    <comment ref="Y29" authorId="0" shapeId="0">
      <text>
        <r>
          <rPr>
            <b/>
            <sz val="9"/>
            <color indexed="81"/>
            <rFont val="Tahoma"/>
            <family val="2"/>
          </rPr>
          <t>FLORES-GUTIERREZ Josue-Fernando:</t>
        </r>
        <r>
          <rPr>
            <sz val="9"/>
            <color indexed="81"/>
            <rFont val="Tahoma"/>
            <family val="2"/>
          </rPr>
          <t xml:space="preserve">
10,0%
Valeur de 2016 prise, car il n'y a pas de valeur pour 2017.
Source: Base Carbone ADEME
Scope 2/ Electricité/ Mix réseaux électrique/ France continental/ Moyen/ Electricité 2016- mix moyen consommation / Afficher détails.</t>
        </r>
      </text>
    </comment>
    <comment ref="AB29" authorId="0" shapeId="0">
      <text>
        <r>
          <rPr>
            <b/>
            <sz val="9"/>
            <color indexed="81"/>
            <rFont val="Tahoma"/>
            <family val="2"/>
          </rPr>
          <t>FLORES-GUTIERREZ Josue-Fernando:</t>
        </r>
        <r>
          <rPr>
            <sz val="9"/>
            <color indexed="81"/>
            <rFont val="Tahoma"/>
            <family val="2"/>
          </rPr>
          <t xml:space="preserve">
</t>
        </r>
        <r>
          <rPr>
            <b/>
            <sz val="9"/>
            <color indexed="81"/>
            <rFont val="Tahoma"/>
            <family val="2"/>
          </rPr>
          <t xml:space="preserve">0,0647 KgCO2e/Kwh
</t>
        </r>
        <r>
          <rPr>
            <sz val="9"/>
            <color indexed="81"/>
            <rFont val="Tahoma"/>
            <family val="2"/>
          </rPr>
          <t xml:space="preserve">Valeur de 2016 prise, car il n'y a pas de valeur pour 2017.
Divisée par 1000 pour la rendre en tonnes.
Source: Base Carbone ADEME
Scope 2/ Electricité/ Mix réseaux électrique/ France continental/ Moyen/ Electricité 2016- mix moyen consommation </t>
        </r>
      </text>
    </comment>
    <comment ref="AJ29" authorId="0" shapeId="0">
      <text>
        <r>
          <rPr>
            <b/>
            <sz val="9"/>
            <color indexed="81"/>
            <rFont val="Tahoma"/>
            <family val="2"/>
          </rPr>
          <t>FLORES-GUTIERREZ Josue-Fernando:</t>
        </r>
        <r>
          <rPr>
            <sz val="9"/>
            <color indexed="81"/>
            <rFont val="Tahoma"/>
            <family val="2"/>
          </rPr>
          <t xml:space="preserve">
10,0%
Valeur de 2016 prise, car il n'y a pas de valeur pour 2017.
Source: Base Carbone ADEME
Scope 2/ Electricité/ Mix réseaux électrique/ France continental/ Moyen/ Electricité 2016- mix moyen consommation / Afficher détails.</t>
        </r>
      </text>
    </comment>
    <comment ref="F30" authorId="0" shapeId="0">
      <text>
        <r>
          <rPr>
            <b/>
            <sz val="9"/>
            <color indexed="81"/>
            <rFont val="Tahoma"/>
            <family val="2"/>
          </rPr>
          <t>FLORES-GUTIERREZ Josue-Fernando:</t>
        </r>
        <r>
          <rPr>
            <sz val="9"/>
            <color indexed="81"/>
            <rFont val="Tahoma"/>
            <family val="2"/>
          </rPr>
          <t xml:space="preserve">
</t>
        </r>
        <r>
          <rPr>
            <b/>
            <sz val="9"/>
            <color indexed="81"/>
            <rFont val="Tahoma"/>
            <family val="2"/>
          </rPr>
          <t xml:space="preserve">0,169 KgCO2e/Kwh
</t>
        </r>
        <r>
          <rPr>
            <sz val="9"/>
            <color indexed="81"/>
            <rFont val="Tahoma"/>
            <family val="2"/>
          </rPr>
          <t xml:space="preserve">Valeur de 2016 prise, car il n'y a pas de valeur pour 2017.
Divisée par 1000 pour la rendre en tonnes.
Source: Base Carbone ADEME
Scope 2/ Electricité/ Mix réseaux électrique/ France continental/ Découpage par usage/  Electricité 2016- usage: chauffage consommation </t>
        </r>
      </text>
    </comment>
    <comment ref="M30" authorId="0" shapeId="0">
      <text>
        <r>
          <rPr>
            <b/>
            <sz val="9"/>
            <color indexed="81"/>
            <rFont val="Tahoma"/>
            <family val="2"/>
          </rPr>
          <t>FLORES-GUTIERREZ Josue-Fernando:</t>
        </r>
        <r>
          <rPr>
            <sz val="9"/>
            <color indexed="81"/>
            <rFont val="Tahoma"/>
            <family val="2"/>
          </rPr>
          <t xml:space="preserve">
30,0%
Valeur de 2016 prise, car il n'y a pas de valeur pour 2017.
Source: Base Carbone ADEME
Scope 2/ Electricité/ Mix réseaux électrique/ France continental/ Découpage par usage/ Electricité 2016- usage: chaufage consommation / Afficher détails.</t>
        </r>
      </text>
    </comment>
    <comment ref="P30" authorId="1" shapeId="0">
      <text>
        <r>
          <rPr>
            <b/>
            <sz val="9"/>
            <color indexed="81"/>
            <rFont val="Tahoma"/>
            <family val="2"/>
          </rPr>
          <t>LETANG Kristell:</t>
        </r>
        <r>
          <rPr>
            <sz val="9"/>
            <color indexed="81"/>
            <rFont val="Tahoma"/>
            <family val="2"/>
          </rPr>
          <t xml:space="preserve">
KgCO2e/Kwh
Electricité 2014 usage chauffage consommation
Divisé par 1000 pour obtenir des tonnes</t>
        </r>
      </text>
    </comment>
    <comment ref="Q30" authorId="0" shapeId="0">
      <text>
        <r>
          <rPr>
            <b/>
            <sz val="9"/>
            <color indexed="81"/>
            <rFont val="Tahoma"/>
            <family val="2"/>
          </rPr>
          <t>FLORES-GUTIERREZ Josue-Fernando:</t>
        </r>
        <r>
          <rPr>
            <sz val="9"/>
            <color indexed="81"/>
            <rFont val="Tahoma"/>
            <family val="2"/>
          </rPr>
          <t xml:space="preserve">
</t>
        </r>
        <r>
          <rPr>
            <b/>
            <sz val="9"/>
            <color indexed="81"/>
            <rFont val="Tahoma"/>
            <family val="2"/>
          </rPr>
          <t xml:space="preserve">0,169 KgCO2e/Kwh
</t>
        </r>
        <r>
          <rPr>
            <sz val="9"/>
            <color indexed="81"/>
            <rFont val="Tahoma"/>
            <family val="2"/>
          </rPr>
          <t xml:space="preserve">Valeur de 2016 prise, car il n'y a pas de valeur pour 2017.
Divisée par 1000 pour la rendre en tonnes.
Source: Base Carbone ADEME
Scope 2/ Electricité/ Mix réseaux électrique/ France continental/ Découpage par usage/  Electricité 2016- usage: chauffage consommation </t>
        </r>
      </text>
    </comment>
    <comment ref="Y30" authorId="0" shapeId="0">
      <text>
        <r>
          <rPr>
            <b/>
            <sz val="9"/>
            <color indexed="81"/>
            <rFont val="Tahoma"/>
            <family val="2"/>
          </rPr>
          <t>FLORES-GUTIERREZ Josue-Fernando:</t>
        </r>
        <r>
          <rPr>
            <sz val="9"/>
            <color indexed="81"/>
            <rFont val="Tahoma"/>
            <family val="2"/>
          </rPr>
          <t xml:space="preserve">
30,0%
Valeur de 2016 prise, car il n'y a pas de valeur pour 2017.
Source: Base Carbone ADEME
Scope 2/ Electricité/ Mix réseaux électrique/ France continental/ Découpage par usage/ Electricité 2016- usage: chaufage consommation / Afficher détails.</t>
        </r>
      </text>
    </comment>
    <comment ref="AB30" authorId="0" shapeId="0">
      <text>
        <r>
          <rPr>
            <b/>
            <sz val="9"/>
            <color indexed="81"/>
            <rFont val="Tahoma"/>
            <family val="2"/>
          </rPr>
          <t>FLORES-GUTIERREZ Josue-Fernando:</t>
        </r>
        <r>
          <rPr>
            <sz val="9"/>
            <color indexed="81"/>
            <rFont val="Tahoma"/>
            <family val="2"/>
          </rPr>
          <t xml:space="preserve">
</t>
        </r>
        <r>
          <rPr>
            <b/>
            <sz val="9"/>
            <color indexed="81"/>
            <rFont val="Tahoma"/>
            <family val="2"/>
          </rPr>
          <t xml:space="preserve">0,169 KgCO2e/Kwh
</t>
        </r>
        <r>
          <rPr>
            <sz val="9"/>
            <color indexed="81"/>
            <rFont val="Tahoma"/>
            <family val="2"/>
          </rPr>
          <t xml:space="preserve">Valeur de 2016 prise, car il n'y a pas de valeur pour 2017.
Divisée par 1000 pour la rendre en tonnes.
Source: Base Carbone ADEME
Scope 2/ Electricité/ Mix réseaux électrique/ France continental/ Découpage par usage/  Electricité 2016- usage: chauffage consommation </t>
        </r>
      </text>
    </comment>
    <comment ref="AJ30" authorId="0" shapeId="0">
      <text>
        <r>
          <rPr>
            <b/>
            <sz val="9"/>
            <color indexed="81"/>
            <rFont val="Tahoma"/>
            <family val="2"/>
          </rPr>
          <t>FLORES-GUTIERREZ Josue-Fernando:</t>
        </r>
        <r>
          <rPr>
            <sz val="9"/>
            <color indexed="81"/>
            <rFont val="Tahoma"/>
            <family val="2"/>
          </rPr>
          <t xml:space="preserve">
30,0%
Valeur de 2016 prise, car il n'y a pas de valeur pour 2017.
Source: Base Carbone ADEME
Scope 2/ Electricité/ Mix réseaux électrique/ France continental/ Découpage par usage/ Electricité 2016- usage: chaufage consommation / Afficher détails.</t>
        </r>
      </text>
    </comment>
    <comment ref="F31" authorId="0" shapeId="0">
      <text>
        <r>
          <rPr>
            <b/>
            <sz val="9"/>
            <color indexed="81"/>
            <rFont val="Tahoma"/>
            <family val="2"/>
          </rPr>
          <t>FLORES-GUTIERREZ Josue-Fernando:</t>
        </r>
        <r>
          <rPr>
            <sz val="9"/>
            <color indexed="81"/>
            <rFont val="Tahoma"/>
            <family val="2"/>
          </rPr>
          <t xml:space="preserve">
</t>
        </r>
        <r>
          <rPr>
            <b/>
            <sz val="9"/>
            <color indexed="81"/>
            <rFont val="Tahoma"/>
            <family val="2"/>
          </rPr>
          <t xml:space="preserve">0,0647 KgCO2e/Kwh
</t>
        </r>
        <r>
          <rPr>
            <sz val="9"/>
            <color indexed="81"/>
            <rFont val="Tahoma"/>
            <family val="2"/>
          </rPr>
          <t xml:space="preserve">Valeur de 2016 prise, car il n'y a pas de valeur pour 2017.
Divisée par 1000 pour la rendre en tonnes.
Source: Base Carbone ADEME
Scope 2/ Electricité/ Mix réseaux électrique/ France continental/ Moyen/ Electricité 2016- mix moyen consommation </t>
        </r>
      </text>
    </comment>
    <comment ref="M31" authorId="0" shapeId="0">
      <text>
        <r>
          <rPr>
            <b/>
            <sz val="9"/>
            <color indexed="81"/>
            <rFont val="Tahoma"/>
            <family val="2"/>
          </rPr>
          <t>FLORES-GUTIERREZ Josue-Fernando:</t>
        </r>
        <r>
          <rPr>
            <sz val="9"/>
            <color indexed="81"/>
            <rFont val="Tahoma"/>
            <family val="2"/>
          </rPr>
          <t xml:space="preserve">
10,0%
Valeur de 2016 prise, car il n'y a pas de valeur pour 2017.
Source: Base Carbone ADEME
Scope 2/ Electricité/ Mix réseaux électrique/ France continental/ Moyen/ Electricité 2016- mix moyen consommation / Afficher détails.</t>
        </r>
      </text>
    </comment>
    <comment ref="Q31" authorId="0" shapeId="0">
      <text>
        <r>
          <rPr>
            <b/>
            <sz val="9"/>
            <color indexed="81"/>
            <rFont val="Tahoma"/>
            <family val="2"/>
          </rPr>
          <t>FLORES-GUTIERREZ Josue-Fernando:</t>
        </r>
        <r>
          <rPr>
            <sz val="9"/>
            <color indexed="81"/>
            <rFont val="Tahoma"/>
            <family val="2"/>
          </rPr>
          <t xml:space="preserve">
</t>
        </r>
        <r>
          <rPr>
            <b/>
            <sz val="9"/>
            <color indexed="81"/>
            <rFont val="Tahoma"/>
            <family val="2"/>
          </rPr>
          <t xml:space="preserve">0,0647 KgCO2e/Kwh
</t>
        </r>
        <r>
          <rPr>
            <sz val="9"/>
            <color indexed="81"/>
            <rFont val="Tahoma"/>
            <family val="2"/>
          </rPr>
          <t xml:space="preserve">Valeur de 2016 prise, car il n'y a pas de valeur pour 2017.
Divisée par 1000 pour la rendre en tonnes.
Source: Base Carbone ADEME
Scope 2/ Electricité/ Mix réseaux électrique/ France continental/ Moyen/ Electricité 2016- mix moyen consommation </t>
        </r>
      </text>
    </comment>
    <comment ref="Y31" authorId="0" shapeId="0">
      <text>
        <r>
          <rPr>
            <b/>
            <sz val="9"/>
            <color indexed="81"/>
            <rFont val="Tahoma"/>
            <family val="2"/>
          </rPr>
          <t>FLORES-GUTIERREZ Josue-Fernando:</t>
        </r>
        <r>
          <rPr>
            <sz val="9"/>
            <color indexed="81"/>
            <rFont val="Tahoma"/>
            <family val="2"/>
          </rPr>
          <t xml:space="preserve">
10,0%
Valeur de 2016 prise, car il n'y a pas de valeur pour 2017.
Source: Base Carbone ADEME
Scope 2/ Electricité/ Mix réseaux électrique/ France continental/ Moyen/ Electricité 2016- mix moyen consommation / Afficher détails.</t>
        </r>
      </text>
    </comment>
    <comment ref="AB31" authorId="0" shapeId="0">
      <text>
        <r>
          <rPr>
            <b/>
            <sz val="9"/>
            <color indexed="81"/>
            <rFont val="Tahoma"/>
            <family val="2"/>
          </rPr>
          <t>FLORES-GUTIERREZ Josue-Fernando:</t>
        </r>
        <r>
          <rPr>
            <sz val="9"/>
            <color indexed="81"/>
            <rFont val="Tahoma"/>
            <family val="2"/>
          </rPr>
          <t xml:space="preserve">
</t>
        </r>
        <r>
          <rPr>
            <b/>
            <sz val="9"/>
            <color indexed="81"/>
            <rFont val="Tahoma"/>
            <family val="2"/>
          </rPr>
          <t xml:space="preserve">0,0647 KgCO2e/Kwh
</t>
        </r>
        <r>
          <rPr>
            <sz val="9"/>
            <color indexed="81"/>
            <rFont val="Tahoma"/>
            <family val="2"/>
          </rPr>
          <t xml:space="preserve">Valeur de 2016 prise, car il n'y a pas de valeur pour 2017.
Divisée par 1000 pour la rendre en tonnes.
Source: Base Carbone ADEME
Scope 2/ Electricité/ Mix réseaux électrique/ France continental/ Moyen/ Electricité 2016- mix moyen consommation </t>
        </r>
      </text>
    </comment>
    <comment ref="AJ31" authorId="0" shapeId="0">
      <text>
        <r>
          <rPr>
            <b/>
            <sz val="9"/>
            <color indexed="81"/>
            <rFont val="Tahoma"/>
            <family val="2"/>
          </rPr>
          <t>FLORES-GUTIERREZ Josue-Fernando:</t>
        </r>
        <r>
          <rPr>
            <sz val="9"/>
            <color indexed="81"/>
            <rFont val="Tahoma"/>
            <family val="2"/>
          </rPr>
          <t xml:space="preserve">
10,0%
Valeur de 2016 prise, car il n'y a pas de valeur pour 2017.
Source: Base Carbone ADEME
Scope 2/ Electricité/ Mix réseaux électrique/ France continental/ Moyen/ Electricité 2016- mix moyen consommation / Afficher détails.</t>
        </r>
      </text>
    </comment>
    <comment ref="F32" authorId="0" shapeId="0">
      <text>
        <r>
          <rPr>
            <b/>
            <sz val="9"/>
            <color indexed="81"/>
            <rFont val="Tahoma"/>
            <family val="2"/>
          </rPr>
          <t>FLORES-GUTIERREZ Josue-Fernando:</t>
        </r>
        <r>
          <rPr>
            <sz val="9"/>
            <color indexed="81"/>
            <rFont val="Tahoma"/>
            <family val="2"/>
          </rPr>
          <t xml:space="preserve">
</t>
        </r>
        <r>
          <rPr>
            <b/>
            <sz val="9"/>
            <color indexed="81"/>
            <rFont val="Tahoma"/>
            <family val="2"/>
          </rPr>
          <t xml:space="preserve">0,0647 KgCO2e/Kwh
</t>
        </r>
        <r>
          <rPr>
            <sz val="9"/>
            <color indexed="81"/>
            <rFont val="Tahoma"/>
            <family val="2"/>
          </rPr>
          <t xml:space="preserve">Valeur de 2016 prise, car il n'y a pas de valeur pour 2017.
Divisée par 1000 pour la rendre en tonnes.
Source: Base Carbone ADEME
Scope 2/ Electricité/ Mix réseaux électrique/ France continental/ Moyen/ Electricité 2016- mix moyen consommation </t>
        </r>
      </text>
    </comment>
    <comment ref="M32" authorId="0" shapeId="0">
      <text>
        <r>
          <rPr>
            <b/>
            <sz val="9"/>
            <color indexed="81"/>
            <rFont val="Tahoma"/>
            <family val="2"/>
          </rPr>
          <t>FLORES-GUTIERREZ Josue-Fernando:</t>
        </r>
        <r>
          <rPr>
            <sz val="9"/>
            <color indexed="81"/>
            <rFont val="Tahoma"/>
            <family val="2"/>
          </rPr>
          <t xml:space="preserve">
10,0%
Valeur de 2016 prise, car il n'y a pas de valeur pour 2017.
Source: Base Carbone ADEME
Scope 2/ Electricité/ Mix réseaux électrique/ France continental/ Moyen/ Electricité 2016- mix moyen consommation / Afficher détails.</t>
        </r>
      </text>
    </comment>
    <comment ref="Q32" authorId="0" shapeId="0">
      <text>
        <r>
          <rPr>
            <b/>
            <sz val="9"/>
            <color indexed="81"/>
            <rFont val="Tahoma"/>
            <family val="2"/>
          </rPr>
          <t>FLORES-GUTIERREZ Josue-Fernando:</t>
        </r>
        <r>
          <rPr>
            <sz val="9"/>
            <color indexed="81"/>
            <rFont val="Tahoma"/>
            <family val="2"/>
          </rPr>
          <t xml:space="preserve">
</t>
        </r>
        <r>
          <rPr>
            <b/>
            <sz val="9"/>
            <color indexed="81"/>
            <rFont val="Tahoma"/>
            <family val="2"/>
          </rPr>
          <t xml:space="preserve">0,0647 KgCO2e/Kwh
</t>
        </r>
        <r>
          <rPr>
            <sz val="9"/>
            <color indexed="81"/>
            <rFont val="Tahoma"/>
            <family val="2"/>
          </rPr>
          <t xml:space="preserve">Valeur de 2016 prise, car il n'y a pas de valeur pour 2017.
Divisée par 1000 pour la rendre en tonnes.
Source: Base Carbone ADEME
Scope 2/ Electricité/ Mix réseaux électrique/ France continental/ Moyen/ Electricité 2016- mix moyen consommation </t>
        </r>
      </text>
    </comment>
    <comment ref="Y32" authorId="0" shapeId="0">
      <text>
        <r>
          <rPr>
            <b/>
            <sz val="9"/>
            <color indexed="81"/>
            <rFont val="Tahoma"/>
            <family val="2"/>
          </rPr>
          <t>FLORES-GUTIERREZ Josue-Fernando:</t>
        </r>
        <r>
          <rPr>
            <sz val="9"/>
            <color indexed="81"/>
            <rFont val="Tahoma"/>
            <family val="2"/>
          </rPr>
          <t xml:space="preserve">
10,0%
Valeur de 2016 prise, car il n'y a pas de valeur pour 2017.
Source: Base Carbone ADEME
Scope 2/ Electricité/ Mix réseaux électrique/ France continental/ Moyen/ Electricité 2016- mix moyen consommation / Afficher détails.</t>
        </r>
      </text>
    </comment>
    <comment ref="AB32" authorId="0" shapeId="0">
      <text>
        <r>
          <rPr>
            <b/>
            <sz val="9"/>
            <color indexed="81"/>
            <rFont val="Tahoma"/>
            <family val="2"/>
          </rPr>
          <t>FLORES-GUTIERREZ Josue-Fernando:</t>
        </r>
        <r>
          <rPr>
            <sz val="9"/>
            <color indexed="81"/>
            <rFont val="Tahoma"/>
            <family val="2"/>
          </rPr>
          <t xml:space="preserve">
</t>
        </r>
        <r>
          <rPr>
            <b/>
            <sz val="9"/>
            <color indexed="81"/>
            <rFont val="Tahoma"/>
            <family val="2"/>
          </rPr>
          <t xml:space="preserve">0,0647 KgCO2e/Kwh
</t>
        </r>
        <r>
          <rPr>
            <sz val="9"/>
            <color indexed="81"/>
            <rFont val="Tahoma"/>
            <family val="2"/>
          </rPr>
          <t xml:space="preserve">Valeur de 2016 prise, car il n'y a pas de valeur pour 2017.
Divisée par 1000 pour la rendre en tonnes.
Source: Base Carbone ADEME
Scope 2/ Electricité/ Mix réseaux électrique/ France continental/ Moyen/ Electricité 2016- mix moyen consommation </t>
        </r>
      </text>
    </comment>
    <comment ref="AJ32" authorId="0" shapeId="0">
      <text>
        <r>
          <rPr>
            <b/>
            <sz val="9"/>
            <color indexed="81"/>
            <rFont val="Tahoma"/>
            <family val="2"/>
          </rPr>
          <t>FLORES-GUTIERREZ Josue-Fernando:</t>
        </r>
        <r>
          <rPr>
            <sz val="9"/>
            <color indexed="81"/>
            <rFont val="Tahoma"/>
            <family val="2"/>
          </rPr>
          <t xml:space="preserve">
10,0%
Valeur de 2016 prise, car il n'y a pas de valeur pour 2017.
Source: Base Carbone ADEME
Scope 2/ Electricité/ Mix réseaux électrique/ France continental/ Moyen/ Electricité 2016- mix moyen consommation / Afficher détails.</t>
        </r>
      </text>
    </comment>
    <comment ref="F33" authorId="0" shapeId="0">
      <text>
        <r>
          <rPr>
            <b/>
            <sz val="9"/>
            <color indexed="81"/>
            <rFont val="Tahoma"/>
            <family val="2"/>
          </rPr>
          <t>FLORES-GUTIERREZ Josue-Fernando:</t>
        </r>
        <r>
          <rPr>
            <sz val="9"/>
            <color indexed="81"/>
            <rFont val="Tahoma"/>
            <family val="2"/>
          </rPr>
          <t xml:space="preserve">
</t>
        </r>
        <r>
          <rPr>
            <b/>
            <sz val="9"/>
            <color indexed="81"/>
            <rFont val="Tahoma"/>
            <family val="2"/>
          </rPr>
          <t xml:space="preserve">0,0647 KgCO2e/Kwh
</t>
        </r>
        <r>
          <rPr>
            <sz val="9"/>
            <color indexed="81"/>
            <rFont val="Tahoma"/>
            <family val="2"/>
          </rPr>
          <t xml:space="preserve">Valeur de 2016 prise, car il n'y a pas de valeur pour 2017.
Divisée par 1000 pour la rendre en tonnes.
Source: Base Carbone ADEME
Scope 2/ Electricité/ Mix réseaux électrique/ France continental/ Moyen/ Electricité 2016- mix moyen consommation </t>
        </r>
      </text>
    </comment>
    <comment ref="Q33" authorId="0" shapeId="0">
      <text>
        <r>
          <rPr>
            <b/>
            <sz val="9"/>
            <color indexed="81"/>
            <rFont val="Tahoma"/>
            <family val="2"/>
          </rPr>
          <t>FLORES-GUTIERREZ Josue-Fernando:</t>
        </r>
        <r>
          <rPr>
            <sz val="9"/>
            <color indexed="81"/>
            <rFont val="Tahoma"/>
            <family val="2"/>
          </rPr>
          <t xml:space="preserve">
</t>
        </r>
        <r>
          <rPr>
            <b/>
            <sz val="9"/>
            <color indexed="81"/>
            <rFont val="Tahoma"/>
            <family val="2"/>
          </rPr>
          <t xml:space="preserve">0,0647 KgCO2e/Kwh
</t>
        </r>
        <r>
          <rPr>
            <sz val="9"/>
            <color indexed="81"/>
            <rFont val="Tahoma"/>
            <family val="2"/>
          </rPr>
          <t xml:space="preserve">Valeur de 2016 prise, car il n'y a pas de valeur pour 2017.
Divisée par 1000 pour la rendre en tonnes.
Source: Base Carbone ADEME
Scope 2/ Electricité/ Mix réseaux électrique/ France continental/ Moyen/ Electricité 2016- mix moyen consommation </t>
        </r>
      </text>
    </comment>
    <comment ref="AB33" authorId="0" shapeId="0">
      <text>
        <r>
          <rPr>
            <b/>
            <sz val="9"/>
            <color indexed="81"/>
            <rFont val="Tahoma"/>
            <family val="2"/>
          </rPr>
          <t>FLORES-GUTIERREZ Josue-Fernando:</t>
        </r>
        <r>
          <rPr>
            <sz val="9"/>
            <color indexed="81"/>
            <rFont val="Tahoma"/>
            <family val="2"/>
          </rPr>
          <t xml:space="preserve">
</t>
        </r>
        <r>
          <rPr>
            <b/>
            <sz val="9"/>
            <color indexed="81"/>
            <rFont val="Tahoma"/>
            <family val="2"/>
          </rPr>
          <t xml:space="preserve">0,0647 KgCO2e/Kwh
</t>
        </r>
        <r>
          <rPr>
            <sz val="9"/>
            <color indexed="81"/>
            <rFont val="Tahoma"/>
            <family val="2"/>
          </rPr>
          <t xml:space="preserve">Valeur de 2016 prise, car il n'y a pas de valeur pour 2017.
Divisée par 1000 pour la rendre en tonnes.
Source: Base Carbone ADEME
Scope 2/ Electricité/ Mix réseaux électrique/ France continental/ Moyen/ Electricité 2016- mix moyen consommation </t>
        </r>
      </text>
    </comment>
    <comment ref="AJ33" authorId="0" shapeId="0">
      <text>
        <r>
          <rPr>
            <b/>
            <sz val="9"/>
            <color indexed="81"/>
            <rFont val="Tahoma"/>
            <family val="2"/>
          </rPr>
          <t>FLORES-GUTIERREZ Josue-Fernando:</t>
        </r>
        <r>
          <rPr>
            <sz val="9"/>
            <color indexed="81"/>
            <rFont val="Tahoma"/>
            <family val="2"/>
          </rPr>
          <t xml:space="preserve">
10,0%
Valeur de 2016 prise, car il n'y a pas de valeur pour 2017.
Source: Base Carbone ADEME
Scope 2/ Electricité/ Mix réseaux électrique/ France continental/ Moyen/ Electricité 2016- mix moyen consommation / Afficher détails.</t>
        </r>
      </text>
    </comment>
    <comment ref="F34" authorId="0" shapeId="0">
      <text>
        <r>
          <rPr>
            <b/>
            <sz val="9"/>
            <color indexed="81"/>
            <rFont val="Tahoma"/>
            <family val="2"/>
          </rPr>
          <t>FLORES-GUTIERREZ Josue-Fernando:</t>
        </r>
        <r>
          <rPr>
            <sz val="9"/>
            <color indexed="81"/>
            <rFont val="Tahoma"/>
            <family val="2"/>
          </rPr>
          <t xml:space="preserve">
</t>
        </r>
        <r>
          <rPr>
            <b/>
            <sz val="9"/>
            <color indexed="81"/>
            <rFont val="Tahoma"/>
            <family val="2"/>
          </rPr>
          <t xml:space="preserve">0,19 kgCO2e/ kWh </t>
        </r>
        <r>
          <rPr>
            <sz val="9"/>
            <color indexed="81"/>
            <rFont val="Tahoma"/>
            <family val="2"/>
          </rPr>
          <t xml:space="preserve">
*Hypothese le réseau de chaleur est pareil a celui de la Métare.
Divisée par 1000 pour la rendre en tonnes.
Source: Base Carbone ADEME
Scope 2/ Réseau de chaleur-froid /Rhône Alpes /42,Loire/ Réseau de chaleur-42, Saint-Etienne, La Métare-2017</t>
        </r>
      </text>
    </comment>
    <comment ref="Q34" authorId="0" shapeId="0">
      <text>
        <r>
          <rPr>
            <b/>
            <sz val="9"/>
            <color indexed="81"/>
            <rFont val="Tahoma"/>
            <family val="2"/>
          </rPr>
          <t>FLORES-GUTIERREZ Josue-Fernando:</t>
        </r>
        <r>
          <rPr>
            <sz val="9"/>
            <color indexed="81"/>
            <rFont val="Tahoma"/>
            <family val="2"/>
          </rPr>
          <t xml:space="preserve">
</t>
        </r>
        <r>
          <rPr>
            <b/>
            <sz val="9"/>
            <color indexed="81"/>
            <rFont val="Tahoma"/>
            <family val="2"/>
          </rPr>
          <t xml:space="preserve">0,19 kgCO2e/ kWh </t>
        </r>
        <r>
          <rPr>
            <sz val="9"/>
            <color indexed="81"/>
            <rFont val="Tahoma"/>
            <family val="2"/>
          </rPr>
          <t xml:space="preserve">
*Hypothese le réseau de chaleur est pareil a celui de la Métare.
Divisée par 1000 pour la rendre en tonnes.
Source: Base Carbone ADEME
Scope 2/ Réseau de chaleur-froid /Rhône Alpes /42,Loire/ Réseau de chaleur-42, Saint-Etienne, La Métare-2017</t>
        </r>
      </text>
    </comment>
    <comment ref="AB34" authorId="0" shapeId="0">
      <text>
        <r>
          <rPr>
            <b/>
            <sz val="9"/>
            <color indexed="81"/>
            <rFont val="Tahoma"/>
            <family val="2"/>
          </rPr>
          <t>FLORES-GUTIERREZ Josue-Fernando:</t>
        </r>
        <r>
          <rPr>
            <sz val="9"/>
            <color indexed="81"/>
            <rFont val="Tahoma"/>
            <family val="2"/>
          </rPr>
          <t xml:space="preserve">
</t>
        </r>
        <r>
          <rPr>
            <b/>
            <sz val="9"/>
            <color indexed="81"/>
            <rFont val="Tahoma"/>
            <family val="2"/>
          </rPr>
          <t xml:space="preserve">0,19 kgCO2e/ kWh </t>
        </r>
        <r>
          <rPr>
            <sz val="9"/>
            <color indexed="81"/>
            <rFont val="Tahoma"/>
            <family val="2"/>
          </rPr>
          <t xml:space="preserve">
*Hypothese le réseau de chaleur est pareil a celui de la Métare.
Divisée par 1000 pour la rendre en tonnes.
Source: Base Carbone ADEME
Scope 2/ Réseau de chaleur-froid /Rhône Alpes /42,Loire/ Réseau de chaleur-42, Saint-Etienne, La Métare-2017</t>
        </r>
      </text>
    </comment>
    <comment ref="F36" authorId="0" shapeId="0">
      <text>
        <r>
          <rPr>
            <b/>
            <sz val="9"/>
            <color indexed="81"/>
            <rFont val="Tahoma"/>
            <family val="2"/>
          </rPr>
          <t xml:space="preserve">FLORES-GUTIERREZ Josue-Fernando:
0,219 kgCO2e/kWh PCS dont l'amont combustion fait 0,0292 kgCO2e/kWh PCS
</t>
        </r>
        <r>
          <rPr>
            <sz val="9"/>
            <color indexed="81"/>
            <rFont val="Tahoma"/>
            <family val="2"/>
          </rPr>
          <t xml:space="preserve">Divisé par 1000 pour le rendre en tonnes
Source: Base Carbone ADEME
Scope1/ Combustibles/ Fossiles/ Gazeux/ Gaz naturel
</t>
        </r>
      </text>
    </comment>
    <comment ref="M36" authorId="0" shapeId="0">
      <text>
        <r>
          <rPr>
            <b/>
            <sz val="9"/>
            <color indexed="81"/>
            <rFont val="Tahoma"/>
            <family val="2"/>
          </rPr>
          <t>FLORES-GUTIERREZ Josue-Fernando:</t>
        </r>
        <r>
          <rPr>
            <sz val="9"/>
            <color indexed="81"/>
            <rFont val="Tahoma"/>
            <family val="2"/>
          </rPr>
          <t xml:space="preserve">
5,00 % 
Source: Base Carbone ADEME
Scope1/ Combustibles/ Fossiles/ Gazeux/ Gaz naturel/ Afficher détails</t>
        </r>
      </text>
    </comment>
    <comment ref="P36" authorId="1" shapeId="0">
      <text>
        <r>
          <rPr>
            <b/>
            <sz val="9"/>
            <color indexed="81"/>
            <rFont val="Tahoma"/>
            <family val="2"/>
          </rPr>
          <t>LETANG Kristell:</t>
        </r>
        <r>
          <rPr>
            <sz val="9"/>
            <color indexed="81"/>
            <rFont val="Tahoma"/>
            <family val="2"/>
          </rPr>
          <t xml:space="preserve">
KgCO2e/KWh PCS
prend en compte que la partie amont
Divisé par 1000 pour obtenir des tonnes</t>
        </r>
      </text>
    </comment>
    <comment ref="Q36" authorId="0" shapeId="0">
      <text>
        <r>
          <rPr>
            <b/>
            <sz val="9"/>
            <color indexed="81"/>
            <rFont val="Tahoma"/>
            <family val="2"/>
          </rPr>
          <t xml:space="preserve">FLORES-GUTIERREZ Josue-Fernando:
0,219 kgCO2e/kWh PCS dont l'amont combustion fait 0,0292 kgCO2e/kWh PCS
</t>
        </r>
        <r>
          <rPr>
            <sz val="9"/>
            <color indexed="81"/>
            <rFont val="Tahoma"/>
            <family val="2"/>
          </rPr>
          <t xml:space="preserve">Divisé par 1000 pour le rendre en tonnes
Source: Base Carbone ADEME
Scope1/ Combustibles/ Fossiles/ Gazeux/ Gaz naturel
</t>
        </r>
      </text>
    </comment>
    <comment ref="Y36" authorId="0" shapeId="0">
      <text>
        <r>
          <rPr>
            <b/>
            <sz val="9"/>
            <color indexed="81"/>
            <rFont val="Tahoma"/>
            <family val="2"/>
          </rPr>
          <t>FLORES-GUTIERREZ Josue-Fernando:</t>
        </r>
        <r>
          <rPr>
            <sz val="9"/>
            <color indexed="81"/>
            <rFont val="Tahoma"/>
            <family val="2"/>
          </rPr>
          <t xml:space="preserve">
5,00 % 
Source: Base Carbone ADEME
Scope1/ Combustibles/ Fossiles/ Gazeux/ Gaz naturel/ Afficher détails</t>
        </r>
      </text>
    </comment>
    <comment ref="AB36" authorId="0" shapeId="0">
      <text>
        <r>
          <rPr>
            <b/>
            <sz val="9"/>
            <color indexed="81"/>
            <rFont val="Tahoma"/>
            <family val="2"/>
          </rPr>
          <t xml:space="preserve">FLORES-GUTIERREZ Josue-Fernando:
0,219 kgCO2e/kWh PCS dont l'amont combustion fait 0,0292 kgCO2e/kWh PCS
</t>
        </r>
        <r>
          <rPr>
            <sz val="9"/>
            <color indexed="81"/>
            <rFont val="Tahoma"/>
            <family val="2"/>
          </rPr>
          <t xml:space="preserve">Divisé par 1000 pour le rendre en tonnes
Source: Base Carbone ADEME
Scope1/ Combustibles/ Fossiles/ Gazeux/ Gaz naturel
</t>
        </r>
      </text>
    </comment>
    <comment ref="AJ36" authorId="0" shapeId="0">
      <text>
        <r>
          <rPr>
            <b/>
            <sz val="9"/>
            <color indexed="81"/>
            <rFont val="Tahoma"/>
            <family val="2"/>
          </rPr>
          <t>FLORES-GUTIERREZ Josue-Fernando:</t>
        </r>
        <r>
          <rPr>
            <sz val="9"/>
            <color indexed="81"/>
            <rFont val="Tahoma"/>
            <family val="2"/>
          </rPr>
          <t xml:space="preserve">
5,00 % 
Source: Base Carbone ADEME
Scope1/ Combustibles/ Fossiles/ Gazeux/ Gaz naturel/ Afficher détails</t>
        </r>
      </text>
    </comment>
    <comment ref="F37" authorId="0" shapeId="0">
      <text>
        <r>
          <rPr>
            <b/>
            <sz val="9"/>
            <color indexed="81"/>
            <rFont val="Tahoma"/>
            <family val="2"/>
          </rPr>
          <t>FLORES-GUTIERREZ Josue-Fernando:</t>
        </r>
        <r>
          <rPr>
            <sz val="9"/>
            <color indexed="81"/>
            <rFont val="Tahoma"/>
            <family val="2"/>
          </rPr>
          <t xml:space="preserve">
</t>
        </r>
        <r>
          <rPr>
            <b/>
            <sz val="9"/>
            <color indexed="81"/>
            <rFont val="Tahoma"/>
            <family val="2"/>
          </rPr>
          <t xml:space="preserve">3,16 kgCO2e/L dont l'amont fait 0,657 kgCO2e/L </t>
        </r>
        <r>
          <rPr>
            <sz val="9"/>
            <color indexed="81"/>
            <rFont val="Tahoma"/>
            <family val="2"/>
          </rPr>
          <t xml:space="preserve">
Divisé par 1000 pour le rendre en tonnes.
Source: Base Carbone ADEME
Scope1/ Combustibles/ Fossiles/ Liquides/ Usage sources mobiles/ Usage routier/ Gazole routier
</t>
        </r>
      </text>
    </comment>
    <comment ref="M37" authorId="0" shapeId="0">
      <text>
        <r>
          <rPr>
            <b/>
            <sz val="9"/>
            <color indexed="81"/>
            <rFont val="Tahoma"/>
            <family val="2"/>
          </rPr>
          <t>FLORES-GUTIERREZ Josue-Fernando:</t>
        </r>
        <r>
          <rPr>
            <sz val="9"/>
            <color indexed="81"/>
            <rFont val="Tahoma"/>
            <family val="2"/>
          </rPr>
          <t xml:space="preserve">
10,0 %
Source: Base Carbone ADEME
Scope1/ Combustibles/ Fossiles/ Liquides/ Usage sources mobiles/ Usage routier/ Gazole routier/ Afficher détails</t>
        </r>
      </text>
    </comment>
    <comment ref="P37" authorId="1" shapeId="0">
      <text>
        <r>
          <rPr>
            <b/>
            <sz val="9"/>
            <color indexed="81"/>
            <rFont val="Tahoma"/>
            <family val="2"/>
          </rPr>
          <t>LETANG Kristell:</t>
        </r>
        <r>
          <rPr>
            <sz val="9"/>
            <color indexed="81"/>
            <rFont val="Tahoma"/>
            <family val="2"/>
          </rPr>
          <t xml:space="preserve">
KgCO2e/Litre
Prend en compte que la partie amont
Gazole routier à la pompe
Divisé par 1000 pour obtenir des tonnes</t>
        </r>
      </text>
    </comment>
    <comment ref="Q37" authorId="0" shapeId="0">
      <text>
        <r>
          <rPr>
            <b/>
            <sz val="9"/>
            <color indexed="81"/>
            <rFont val="Tahoma"/>
            <family val="2"/>
          </rPr>
          <t>FLORES-GUTIERREZ Josue-Fernando:</t>
        </r>
        <r>
          <rPr>
            <sz val="9"/>
            <color indexed="81"/>
            <rFont val="Tahoma"/>
            <family val="2"/>
          </rPr>
          <t xml:space="preserve">
</t>
        </r>
        <r>
          <rPr>
            <b/>
            <sz val="9"/>
            <color indexed="81"/>
            <rFont val="Tahoma"/>
            <family val="2"/>
          </rPr>
          <t xml:space="preserve">3,16 kgCO2e/L dont l'amont fait 0,657 kgCO2e/L </t>
        </r>
        <r>
          <rPr>
            <sz val="9"/>
            <color indexed="81"/>
            <rFont val="Tahoma"/>
            <family val="2"/>
          </rPr>
          <t xml:space="preserve">
Divisé par 1000 pour le rendre en tonnes.
Source: Base Carbone ADEME
Scope1/ Combustibles/ Fossiles/ Liquides/ Usage sources mobiles/ Usage routier/ Gazole routier
</t>
        </r>
      </text>
    </comment>
    <comment ref="Y37" authorId="0" shapeId="0">
      <text>
        <r>
          <rPr>
            <b/>
            <sz val="9"/>
            <color indexed="81"/>
            <rFont val="Tahoma"/>
            <family val="2"/>
          </rPr>
          <t>FLORES-GUTIERREZ Josue-Fernando:</t>
        </r>
        <r>
          <rPr>
            <sz val="9"/>
            <color indexed="81"/>
            <rFont val="Tahoma"/>
            <family val="2"/>
          </rPr>
          <t xml:space="preserve">
10,0 %
Source: Base Carbone ADEME
Scope1/ Combustibles/ Fossiles/ Liquides/ Usage sources mobiles/ Usage routier/ Gazole routier/ Afficher détails</t>
        </r>
      </text>
    </comment>
    <comment ref="AB37" authorId="0" shapeId="0">
      <text>
        <r>
          <rPr>
            <b/>
            <sz val="9"/>
            <color indexed="81"/>
            <rFont val="Tahoma"/>
            <family val="2"/>
          </rPr>
          <t>FLORES-GUTIERREZ Josue-Fernando:</t>
        </r>
        <r>
          <rPr>
            <sz val="9"/>
            <color indexed="81"/>
            <rFont val="Tahoma"/>
            <family val="2"/>
          </rPr>
          <t xml:space="preserve">
</t>
        </r>
        <r>
          <rPr>
            <b/>
            <sz val="9"/>
            <color indexed="81"/>
            <rFont val="Tahoma"/>
            <family val="2"/>
          </rPr>
          <t xml:space="preserve">3,16 kgCO2e/L dont l'amont fait 0,657 kgCO2e/L </t>
        </r>
        <r>
          <rPr>
            <sz val="9"/>
            <color indexed="81"/>
            <rFont val="Tahoma"/>
            <family val="2"/>
          </rPr>
          <t xml:space="preserve">
Divisé par 1000 pour le rendre en tonnes.
Source: Base Carbone ADEME
Scope1/ Combustibles/ Fossiles/ Liquides/ Usage sources mobiles/ Usage routier/ Gazole routier
</t>
        </r>
      </text>
    </comment>
    <comment ref="AJ37" authorId="0" shapeId="0">
      <text>
        <r>
          <rPr>
            <b/>
            <sz val="9"/>
            <color indexed="81"/>
            <rFont val="Tahoma"/>
            <family val="2"/>
          </rPr>
          <t>FLORES-GUTIERREZ Josue-Fernando:</t>
        </r>
        <r>
          <rPr>
            <sz val="9"/>
            <color indexed="81"/>
            <rFont val="Tahoma"/>
            <family val="2"/>
          </rPr>
          <t xml:space="preserve">
10,0 %
Source: Base Carbone ADEME
Scope1/ Combustibles/ Fossiles/ Liquides/ Usage sources mobiles/ Usage routier/ Gazole routier/ Afficher détails</t>
        </r>
      </text>
    </comment>
    <comment ref="F38" authorId="0" shapeId="0">
      <text>
        <r>
          <rPr>
            <b/>
            <sz val="9"/>
            <color indexed="81"/>
            <rFont val="Tahoma"/>
            <family val="2"/>
          </rPr>
          <t>FLORES-GUTIERREZ Josue-Fernando:</t>
        </r>
        <r>
          <rPr>
            <sz val="9"/>
            <color indexed="81"/>
            <rFont val="Tahoma"/>
            <family val="2"/>
          </rPr>
          <t xml:space="preserve">
</t>
        </r>
        <r>
          <rPr>
            <b/>
            <sz val="9"/>
            <color indexed="81"/>
            <rFont val="Tahoma"/>
            <family val="2"/>
          </rPr>
          <t xml:space="preserve">2,8 kgCO2e/ L dont l'amont fait 2,28  kgCO2e/ L </t>
        </r>
        <r>
          <rPr>
            <sz val="9"/>
            <color indexed="81"/>
            <rFont val="Tahoma"/>
            <family val="2"/>
          </rPr>
          <t xml:space="preserve">
Divisé par 1000 pour le rendren en tonnes.
Source: Base Carbone ADEME
Scope1/ Combustibles/ Fossiles/ Liquides/ Usage sources mobiles/ Usage routier/ Essence supercarburant sans plomp 
</t>
        </r>
      </text>
    </comment>
    <comment ref="M38" authorId="0" shapeId="0">
      <text>
        <r>
          <rPr>
            <b/>
            <sz val="9"/>
            <color indexed="81"/>
            <rFont val="Tahoma"/>
            <family val="2"/>
          </rPr>
          <t>FLORES-GUTIERREZ Josue-Fernando:</t>
        </r>
        <r>
          <rPr>
            <sz val="9"/>
            <color indexed="81"/>
            <rFont val="Tahoma"/>
            <family val="2"/>
          </rPr>
          <t xml:space="preserve">
10,0 %
Source: Base Carbone ADEME
Scope1/ Combustibles/ Fossiles/ Liquides/ Usage sources mobiles/ Usage routier/ Essence supercarburant sans plomp/ Afficher détails</t>
        </r>
      </text>
    </comment>
    <comment ref="P38" authorId="1" shapeId="0">
      <text>
        <r>
          <rPr>
            <b/>
            <sz val="9"/>
            <color indexed="81"/>
            <rFont val="Tahoma"/>
            <family val="2"/>
          </rPr>
          <t>LETANG Kristell:</t>
        </r>
        <r>
          <rPr>
            <sz val="9"/>
            <color indexed="81"/>
            <rFont val="Tahoma"/>
            <family val="2"/>
          </rPr>
          <t xml:space="preserve">
KgCO2e/Litre
Prend en compte que la partie en amont
Essence à la pompe SP 95 SP 98
Divisé par 1000 pour obtenir des tonnes</t>
        </r>
      </text>
    </comment>
    <comment ref="Q38" authorId="0" shapeId="0">
      <text>
        <r>
          <rPr>
            <b/>
            <sz val="9"/>
            <color indexed="81"/>
            <rFont val="Tahoma"/>
            <family val="2"/>
          </rPr>
          <t>FLORES-GUTIERREZ Josue-Fernando:</t>
        </r>
        <r>
          <rPr>
            <sz val="9"/>
            <color indexed="81"/>
            <rFont val="Tahoma"/>
            <family val="2"/>
          </rPr>
          <t xml:space="preserve">
</t>
        </r>
        <r>
          <rPr>
            <b/>
            <sz val="9"/>
            <color indexed="81"/>
            <rFont val="Tahoma"/>
            <family val="2"/>
          </rPr>
          <t xml:space="preserve">2,8 kgCO2e/ L dont l'amont fait 2,28  kgCO2e/ L </t>
        </r>
        <r>
          <rPr>
            <sz val="9"/>
            <color indexed="81"/>
            <rFont val="Tahoma"/>
            <family val="2"/>
          </rPr>
          <t xml:space="preserve">
Divisé par 1000 pour le rendren en tonnes.
Source: Base Carbone ADEME
Scope1/ Combustibles/ Fossiles/ Liquides/ Usage sources mobiles/ Usage routier/ Essence supercarburant sans plomp 
</t>
        </r>
      </text>
    </comment>
    <comment ref="Y38" authorId="0" shapeId="0">
      <text>
        <r>
          <rPr>
            <b/>
            <sz val="9"/>
            <color indexed="81"/>
            <rFont val="Tahoma"/>
            <family val="2"/>
          </rPr>
          <t>FLORES-GUTIERREZ Josue-Fernando:</t>
        </r>
        <r>
          <rPr>
            <sz val="9"/>
            <color indexed="81"/>
            <rFont val="Tahoma"/>
            <family val="2"/>
          </rPr>
          <t xml:space="preserve">
10,0 %
Source: Base Carbone ADEME
Scope1/ Combustibles/ Fossiles/ Liquides/ Usage sources mobiles/ Usage routier/ Essence supercarburant sans plomp/ Afficher détails</t>
        </r>
      </text>
    </comment>
    <comment ref="AB38" authorId="0" shapeId="0">
      <text>
        <r>
          <rPr>
            <b/>
            <sz val="9"/>
            <color indexed="81"/>
            <rFont val="Tahoma"/>
            <family val="2"/>
          </rPr>
          <t>FLORES-GUTIERREZ Josue-Fernando:</t>
        </r>
        <r>
          <rPr>
            <sz val="9"/>
            <color indexed="81"/>
            <rFont val="Tahoma"/>
            <family val="2"/>
          </rPr>
          <t xml:space="preserve">
</t>
        </r>
        <r>
          <rPr>
            <b/>
            <sz val="9"/>
            <color indexed="81"/>
            <rFont val="Tahoma"/>
            <family val="2"/>
          </rPr>
          <t xml:space="preserve">2,8 kgCO2e/ L dont l'amont fait 2,28  kgCO2e/ L </t>
        </r>
        <r>
          <rPr>
            <sz val="9"/>
            <color indexed="81"/>
            <rFont val="Tahoma"/>
            <family val="2"/>
          </rPr>
          <t xml:space="preserve">
Divisé par 1000 pour le rendren en tonnes.
Source: Base Carbone ADEME
Scope1/ Combustibles/ Fossiles/ Liquides/ Usage sources mobiles/ Usage routier/ Essence supercarburant sans plomp 
</t>
        </r>
      </text>
    </comment>
    <comment ref="AJ38" authorId="0" shapeId="0">
      <text>
        <r>
          <rPr>
            <b/>
            <sz val="9"/>
            <color indexed="81"/>
            <rFont val="Tahoma"/>
            <family val="2"/>
          </rPr>
          <t>FLORES-GUTIERREZ Josue-Fernando:</t>
        </r>
        <r>
          <rPr>
            <sz val="9"/>
            <color indexed="81"/>
            <rFont val="Tahoma"/>
            <family val="2"/>
          </rPr>
          <t xml:space="preserve">
10,0 %
Source: Base Carbone ADEME
Scope1/ Combustibles/ Fossiles/ Liquides/ Usage sources mobiles/ Usage routier/ Essence supercarburant sans plomp/ Afficher détails</t>
        </r>
      </text>
    </comment>
    <comment ref="F40" authorId="0" shapeId="0">
      <text>
        <r>
          <rPr>
            <b/>
            <sz val="9"/>
            <color indexed="81"/>
            <rFont val="Tahoma"/>
            <family val="2"/>
          </rPr>
          <t xml:space="preserve">FLORES-GUTIERREZ Josue-Fernando:
</t>
        </r>
        <r>
          <rPr>
            <b/>
            <sz val="9"/>
            <color indexed="81"/>
            <rFont val="Tahoma"/>
            <family val="2"/>
          </rPr>
          <t>5500 kgCO2e/tonne</t>
        </r>
        <r>
          <rPr>
            <sz val="9"/>
            <color indexed="81"/>
            <rFont val="Tahoma"/>
            <family val="2"/>
          </rPr>
          <t xml:space="preserve">
Divisé par 1000 pour obtenir des tonnes
Source: Base carbone ADEME 
Scope 3/ Achat de biens/ vehicules automoviles et autres materiels de transport/ vehicule fabrication</t>
        </r>
      </text>
    </comment>
    <comment ref="Q40" authorId="0" shapeId="0">
      <text>
        <r>
          <rPr>
            <b/>
            <sz val="9"/>
            <color indexed="81"/>
            <rFont val="Tahoma"/>
            <family val="2"/>
          </rPr>
          <t xml:space="preserve">FLORES-GUTIERREZ Josue-Fernando:
</t>
        </r>
        <r>
          <rPr>
            <b/>
            <sz val="9"/>
            <color indexed="81"/>
            <rFont val="Tahoma"/>
            <family val="2"/>
          </rPr>
          <t>5500 kgCO2e/tonne</t>
        </r>
        <r>
          <rPr>
            <sz val="9"/>
            <color indexed="81"/>
            <rFont val="Tahoma"/>
            <family val="2"/>
          </rPr>
          <t xml:space="preserve">
Divisé par 1000 pour obtenir des tonnes
Source: Base carbone ADEME 
Scope 3/ Achat de biens/ vehicules automoviles et autres materiels de transport/ vehicule fabrication</t>
        </r>
      </text>
    </comment>
    <comment ref="AB40" authorId="0" shapeId="0">
      <text>
        <r>
          <rPr>
            <b/>
            <sz val="9"/>
            <color indexed="81"/>
            <rFont val="Tahoma"/>
            <family val="2"/>
          </rPr>
          <t xml:space="preserve">FLORES-GUTIERREZ Josue-Fernando:
</t>
        </r>
        <r>
          <rPr>
            <b/>
            <sz val="9"/>
            <color indexed="81"/>
            <rFont val="Tahoma"/>
            <family val="2"/>
          </rPr>
          <t>5500 kgCO2e/tonne</t>
        </r>
        <r>
          <rPr>
            <sz val="9"/>
            <color indexed="81"/>
            <rFont val="Tahoma"/>
            <family val="2"/>
          </rPr>
          <t xml:space="preserve">
Divisé par 1000 pour obtenir des tonnes
Source: Base carbone ADEME 
Scope 3/ Achat de biens/ vehicules automoviles et autres materiels de transport/ vehicule fabrication</t>
        </r>
      </text>
    </comment>
    <comment ref="AJ40" authorId="0" shapeId="0">
      <text>
        <r>
          <rPr>
            <b/>
            <sz val="9"/>
            <color indexed="81"/>
            <rFont val="Tahoma"/>
            <family val="2"/>
          </rPr>
          <t>FLORES-GUTIERREZ Josue-Fernando:</t>
        </r>
        <r>
          <rPr>
            <sz val="9"/>
            <color indexed="81"/>
            <rFont val="Tahoma"/>
            <family val="2"/>
          </rPr>
          <t xml:space="preserve">
50% d'incertitude
Source: Base carbone ADEME 
Scope 3/ Achat de biens/ vehicules automoviles et autres materiels de transport/ vehicule fabrication/ Afficher détails</t>
        </r>
      </text>
    </comment>
    <comment ref="F41" authorId="0" shapeId="0">
      <text>
        <r>
          <rPr>
            <b/>
            <sz val="9"/>
            <color indexed="81"/>
            <rFont val="Tahoma"/>
            <family val="2"/>
          </rPr>
          <t>FLORES-GUTIERREZ Josue-Fernando:</t>
        </r>
        <r>
          <rPr>
            <sz val="9"/>
            <color indexed="81"/>
            <rFont val="Tahoma"/>
            <family val="2"/>
          </rPr>
          <t xml:space="preserve">
1283 kgCO2e/appareil
divisé par 1000 pour le rendre en tonnes
SCOPE3/ Achat de biens/ Machines et equipements/ Informatique et equipement de bureau/ Ordinateur fixe-avec ecran plat</t>
        </r>
      </text>
    </comment>
    <comment ref="Q41" authorId="0" shapeId="0">
      <text>
        <r>
          <rPr>
            <b/>
            <sz val="9"/>
            <color indexed="81"/>
            <rFont val="Tahoma"/>
            <family val="2"/>
          </rPr>
          <t>FLORES-GUTIERREZ Josue-Fernando:</t>
        </r>
        <r>
          <rPr>
            <sz val="9"/>
            <color indexed="81"/>
            <rFont val="Tahoma"/>
            <family val="2"/>
          </rPr>
          <t xml:space="preserve">
1283 kgCO2e/appareil
divisé par 1000 pour le rendre en tonnes
SCOPE3/ Achat de biens/ Machines et equipements/ Informatique et equipement de bureau/ Ordinateur fixe-avec ecran plat</t>
        </r>
      </text>
    </comment>
    <comment ref="AB41" authorId="0" shapeId="0">
      <text>
        <r>
          <rPr>
            <b/>
            <sz val="9"/>
            <color indexed="81"/>
            <rFont val="Tahoma"/>
            <family val="2"/>
          </rPr>
          <t>FLORES-GUTIERREZ Josue-Fernando:</t>
        </r>
        <r>
          <rPr>
            <sz val="9"/>
            <color indexed="81"/>
            <rFont val="Tahoma"/>
            <family val="2"/>
          </rPr>
          <t xml:space="preserve">
1283 kgCO2e/appareil
divisé par 1000 pour le rendre en tonnes
SCOPE3/ Achat de biens/ Machines et equipements/ Informatique et equipement de bureau/ Ordinateur fixe-avec ecran plat</t>
        </r>
      </text>
    </comment>
    <comment ref="AJ41" authorId="0" shapeId="0">
      <text>
        <r>
          <rPr>
            <b/>
            <sz val="9"/>
            <color indexed="81"/>
            <rFont val="Tahoma"/>
            <family val="2"/>
          </rPr>
          <t>FLORES-GUTIERREZ Josue-Fernando:</t>
        </r>
        <r>
          <rPr>
            <sz val="9"/>
            <color indexed="81"/>
            <rFont val="Tahoma"/>
            <family val="2"/>
          </rPr>
          <t xml:space="preserve">
50% d'incertitude
Source: Base carbone ADEME 
Scope 3/ Achat de biens/ Machines et equipement/ Informatique et equipement de bureau/ Ordinateur fixe avec ecran plat</t>
        </r>
      </text>
    </comment>
    <comment ref="F42" authorId="0" shapeId="0">
      <text>
        <r>
          <rPr>
            <b/>
            <sz val="9"/>
            <color indexed="81"/>
            <rFont val="Tahoma"/>
            <family val="2"/>
          </rPr>
          <t>FLORES-GUTIERREZ Josue-Fernando:</t>
        </r>
        <r>
          <rPr>
            <sz val="9"/>
            <color indexed="81"/>
            <rFont val="Tahoma"/>
            <family val="2"/>
          </rPr>
          <t xml:space="preserve">
61,6 kgCO2e/unité
divisé par 1000 pour le rendre en tonnes
SCOPE3/ Achat de biens/ Machines et equipements/ Informatique et equipement de bureau/ Ordinateru portable - 14 pouces
F,E, EN DISCUSSION
</t>
        </r>
      </text>
    </comment>
    <comment ref="Q42" authorId="0" shapeId="0">
      <text>
        <r>
          <rPr>
            <b/>
            <sz val="9"/>
            <color indexed="81"/>
            <rFont val="Tahoma"/>
            <family val="2"/>
          </rPr>
          <t>FLORES-GUTIERREZ Josue-Fernando:</t>
        </r>
        <r>
          <rPr>
            <sz val="9"/>
            <color indexed="81"/>
            <rFont val="Tahoma"/>
            <family val="2"/>
          </rPr>
          <t xml:space="preserve">
61,6 kgCO2e/unité
divisé par 1000 pour le rendre en tonnes
SCOPE3/ Achat de biens/ Machines et equipements/ Informatique et equipement de bureau/ Ordinateru portable - 14 pouces
F,E, EN DISCUSSION
</t>
        </r>
      </text>
    </comment>
    <comment ref="AB42" authorId="0" shapeId="0">
      <text>
        <r>
          <rPr>
            <b/>
            <sz val="9"/>
            <color indexed="81"/>
            <rFont val="Tahoma"/>
            <family val="2"/>
          </rPr>
          <t>FLORES-GUTIERREZ Josue-Fernando:</t>
        </r>
        <r>
          <rPr>
            <sz val="9"/>
            <color indexed="81"/>
            <rFont val="Tahoma"/>
            <family val="2"/>
          </rPr>
          <t xml:space="preserve">
61,6 kgCO2e/unité
divisé par 1000 pour le rendre en tonnes
SCOPE3/ Achat de biens/ Machines et equipements/ Informatique et equipement de bureau/ Ordinateru portable - 14 pouces
F,E, EN DISCUSSION
</t>
        </r>
      </text>
    </comment>
    <comment ref="AJ42" authorId="0" shapeId="0">
      <text>
        <r>
          <rPr>
            <b/>
            <sz val="9"/>
            <color indexed="81"/>
            <rFont val="Tahoma"/>
            <family val="2"/>
          </rPr>
          <t>FLORES-GUTIERREZ Josue-Fernando:</t>
        </r>
        <r>
          <rPr>
            <sz val="9"/>
            <color indexed="81"/>
            <rFont val="Tahoma"/>
            <family val="2"/>
          </rPr>
          <t xml:space="preserve">
50% d'incertitude
Source: Base carbone ADEME 
Scope 3/ Achat de biens/ Machines et equipement/ Informatique et equipement de bureau/ Ordinateur portable de 14 pouces
F,E, DISCUSSION</t>
        </r>
      </text>
    </comment>
    <comment ref="F43" authorId="0" shapeId="0">
      <text>
        <r>
          <rPr>
            <b/>
            <sz val="9"/>
            <color indexed="81"/>
            <rFont val="Tahoma"/>
            <family val="2"/>
          </rPr>
          <t>FLORES-GUTIERREZ Josue-Fernando:</t>
        </r>
        <r>
          <rPr>
            <sz val="9"/>
            <color indexed="81"/>
            <rFont val="Tahoma"/>
            <family val="2"/>
          </rPr>
          <t xml:space="preserve">
61,6 kgCO2e/unité
divisé par 1000 pour le rendre en tonnes
SCOPE3/ Achat de biens/ Machines et equipements/ Informatique et equipement de bureau/ Ecran a cristaux liquides - 26 pouces
</t>
        </r>
      </text>
    </comment>
    <comment ref="Q43" authorId="0" shapeId="0">
      <text>
        <r>
          <rPr>
            <b/>
            <sz val="9"/>
            <color indexed="81"/>
            <rFont val="Tahoma"/>
            <family val="2"/>
          </rPr>
          <t>FLORES-GUTIERREZ Josue-Fernando:</t>
        </r>
        <r>
          <rPr>
            <sz val="9"/>
            <color indexed="81"/>
            <rFont val="Tahoma"/>
            <family val="2"/>
          </rPr>
          <t xml:space="preserve">
61,6 kgCO2e/unité
divisé par 1000 pour le rendre en tonnes
SCOPE3/ Achat de biens/ Machines et equipements/ Informatique et equipement de bureau/ Ecran a cristaux liquides - 26 pouces
</t>
        </r>
      </text>
    </comment>
    <comment ref="AB43" authorId="0" shapeId="0">
      <text>
        <r>
          <rPr>
            <b/>
            <sz val="9"/>
            <color indexed="81"/>
            <rFont val="Tahoma"/>
            <family val="2"/>
          </rPr>
          <t>FLORES-GUTIERREZ Josue-Fernando:</t>
        </r>
        <r>
          <rPr>
            <sz val="9"/>
            <color indexed="81"/>
            <rFont val="Tahoma"/>
            <family val="2"/>
          </rPr>
          <t xml:space="preserve">
61,6 kgCO2e/unité
divisé par 1000 pour le rendre en tonnes
SCOPE3/ Achat de biens/ Machines et equipements/ Informatique et equipement de bureau/ Ecran a cristaux liquides - 26 pouces
</t>
        </r>
      </text>
    </comment>
    <comment ref="AJ43" authorId="0" shapeId="0">
      <text>
        <r>
          <rPr>
            <b/>
            <sz val="9"/>
            <color indexed="81"/>
            <rFont val="Tahoma"/>
            <family val="2"/>
          </rPr>
          <t>FLORES-GUTIERREZ Josue-Fernando:</t>
        </r>
        <r>
          <rPr>
            <sz val="9"/>
            <color indexed="81"/>
            <rFont val="Tahoma"/>
            <family val="2"/>
          </rPr>
          <t xml:space="preserve">
Pas d'incertitude dans la Base Carbone, donc hypothese de  50% d'incertitude
</t>
        </r>
      </text>
    </comment>
    <comment ref="E44" authorId="2" shapeId="0">
      <text>
        <r>
          <rPr>
            <b/>
            <sz val="10"/>
            <color indexed="81"/>
            <rFont val="Tahoma"/>
            <family val="2"/>
          </rPr>
          <t>NG: Source Base carbone</t>
        </r>
        <r>
          <rPr>
            <sz val="10"/>
            <color indexed="81"/>
            <rFont val="Tahoma"/>
            <family val="2"/>
          </rPr>
          <t xml:space="preserve">
</t>
        </r>
      </text>
    </comment>
    <comment ref="W44" authorId="1" shapeId="0">
      <text>
        <r>
          <rPr>
            <b/>
            <sz val="9"/>
            <color indexed="81"/>
            <rFont val="Tahoma"/>
            <family val="2"/>
          </rPr>
          <t>LETANG Kristell:</t>
        </r>
        <r>
          <rPr>
            <sz val="9"/>
            <color indexed="81"/>
            <rFont val="Tahoma"/>
            <family val="2"/>
          </rPr>
          <t xml:space="preserve">
Somme résultat papier et résultat carton</t>
        </r>
      </text>
    </comment>
    <comment ref="X44" authorId="1" shapeId="0">
      <text>
        <r>
          <rPr>
            <b/>
            <sz val="9"/>
            <color indexed="81"/>
            <rFont val="Tahoma"/>
            <family val="2"/>
          </rPr>
          <t>LETANG Kristell:</t>
        </r>
        <r>
          <rPr>
            <sz val="9"/>
            <color indexed="81"/>
            <rFont val="Tahoma"/>
            <family val="2"/>
          </rPr>
          <t xml:space="preserve">
Incertitude reprise de 2010</t>
        </r>
      </text>
    </comment>
    <comment ref="AH44" authorId="0" shapeId="0">
      <text>
        <r>
          <rPr>
            <b/>
            <sz val="9"/>
            <color indexed="81"/>
            <rFont val="Tahoma"/>
            <family val="2"/>
          </rPr>
          <t>FLORES-GUTIERREZ Josue-Fernando:</t>
        </r>
        <r>
          <rPr>
            <sz val="9"/>
            <color indexed="81"/>
            <rFont val="Tahoma"/>
            <family val="2"/>
          </rPr>
          <t xml:space="preserve">
Somme résultat papier et résultat carton</t>
        </r>
      </text>
    </comment>
    <comment ref="AI44" authorId="0" shapeId="0">
      <text>
        <r>
          <rPr>
            <b/>
            <sz val="9"/>
            <color indexed="81"/>
            <rFont val="Tahoma"/>
            <family val="2"/>
          </rPr>
          <t>FLORES-GUTIERREZ Josue-Fernando:</t>
        </r>
        <r>
          <rPr>
            <sz val="9"/>
            <color indexed="81"/>
            <rFont val="Tahoma"/>
            <family val="2"/>
          </rPr>
          <t xml:space="preserve">
50% inceritude reprise de celui de 2010</t>
        </r>
      </text>
    </comment>
    <comment ref="AK44" authorId="1" shapeId="0">
      <text>
        <r>
          <rPr>
            <b/>
            <sz val="9"/>
            <color indexed="81"/>
            <rFont val="Tahoma"/>
            <family val="2"/>
          </rPr>
          <t>LETANG Kristell:</t>
        </r>
        <r>
          <rPr>
            <sz val="9"/>
            <color indexed="81"/>
            <rFont val="Tahoma"/>
            <family val="2"/>
          </rPr>
          <t xml:space="preserve">
Donnée non pertinente
Regroupement déchets papiers - cartons
1 FE en 2010
2 FE en 2014 (1 pour le papier et 1 pour le carton)
Pas de disctinction tri en 2010
</t>
        </r>
      </text>
    </comment>
    <comment ref="AL44" authorId="0" shapeId="0">
      <text>
        <r>
          <rPr>
            <b/>
            <sz val="9"/>
            <color indexed="81"/>
            <rFont val="Tahoma"/>
            <family val="2"/>
          </rPr>
          <t>FLORES-GUTIERREZ Josue-Fernando:</t>
        </r>
        <r>
          <rPr>
            <sz val="9"/>
            <color indexed="81"/>
            <rFont val="Tahoma"/>
            <family val="2"/>
          </rPr>
          <t xml:space="preserve">
</t>
        </r>
      </text>
    </comment>
    <comment ref="F45" authorId="0" shapeId="0">
      <text>
        <r>
          <rPr>
            <b/>
            <sz val="9"/>
            <color indexed="81"/>
            <rFont val="Tahoma"/>
            <family val="2"/>
          </rPr>
          <t>FLORES-GUTIERREZ Josue-Fernando:</t>
        </r>
        <r>
          <rPr>
            <sz val="9"/>
            <color indexed="81"/>
            <rFont val="Tahoma"/>
            <family val="2"/>
          </rPr>
          <t xml:space="preserve">
</t>
        </r>
        <r>
          <rPr>
            <b/>
            <sz val="9"/>
            <color indexed="81"/>
            <rFont val="Tahoma"/>
            <family val="2"/>
          </rPr>
          <t xml:space="preserve">43,1 kgCO2e/tonne
</t>
        </r>
        <r>
          <rPr>
            <sz val="9"/>
            <color indexed="81"/>
            <rFont val="Tahoma"/>
            <family val="2"/>
          </rPr>
          <t xml:space="preserve">Divisé par 1000 pour obtenir des tonnes
Source: Base carbone ADEME 
Scope 3/ Traitement de déchets/ Déchets organiques/ Papiers/ Papier - fin de vie moyenne
</t>
        </r>
      </text>
    </comment>
    <comment ref="P45" authorId="1" shapeId="0">
      <text>
        <r>
          <rPr>
            <b/>
            <sz val="9"/>
            <color indexed="81"/>
            <rFont val="Tahoma"/>
            <family val="2"/>
          </rPr>
          <t>LETANG Kristell:</t>
        </r>
        <r>
          <rPr>
            <sz val="9"/>
            <color indexed="81"/>
            <rFont val="Tahoma"/>
            <family val="2"/>
          </rPr>
          <t xml:space="preserve">
KgCO2e/tonne
Papier - fin de vie moyenne
Divisé par 1000 pour obtenir des tonnes</t>
        </r>
      </text>
    </comment>
    <comment ref="Q45" authorId="0" shapeId="0">
      <text>
        <r>
          <rPr>
            <b/>
            <sz val="9"/>
            <color indexed="81"/>
            <rFont val="Tahoma"/>
            <family val="2"/>
          </rPr>
          <t>FLORES-GUTIERREZ Josue-Fernando:</t>
        </r>
        <r>
          <rPr>
            <sz val="9"/>
            <color indexed="81"/>
            <rFont val="Tahoma"/>
            <family val="2"/>
          </rPr>
          <t xml:space="preserve">
</t>
        </r>
        <r>
          <rPr>
            <b/>
            <sz val="9"/>
            <color indexed="81"/>
            <rFont val="Tahoma"/>
            <family val="2"/>
          </rPr>
          <t xml:space="preserve">43,1 kgCO2e/tonne
</t>
        </r>
        <r>
          <rPr>
            <sz val="9"/>
            <color indexed="81"/>
            <rFont val="Tahoma"/>
            <family val="2"/>
          </rPr>
          <t xml:space="preserve">Divisé par 1000 pour obtenir des tonnes
Source: Base carbone ADEME 
Scope 3/ Traitement de déchets/ Déchets organiques/ Papiers/ Papier - fin de vie moyenne
</t>
        </r>
      </text>
    </comment>
    <comment ref="X45" authorId="1" shapeId="0">
      <text>
        <r>
          <rPr>
            <b/>
            <sz val="9"/>
            <color indexed="81"/>
            <rFont val="Tahoma"/>
            <family val="2"/>
          </rPr>
          <t>LETANG Kristell:</t>
        </r>
        <r>
          <rPr>
            <sz val="9"/>
            <color indexed="81"/>
            <rFont val="Tahoma"/>
            <family val="2"/>
          </rPr>
          <t xml:space="preserve">
Pas d'incertitude sur la base carbone</t>
        </r>
      </text>
    </comment>
    <comment ref="AB45" authorId="0" shapeId="0">
      <text>
        <r>
          <rPr>
            <b/>
            <sz val="9"/>
            <color indexed="81"/>
            <rFont val="Tahoma"/>
            <family val="2"/>
          </rPr>
          <t>FLORES-GUTIERREZ Josue-Fernando:</t>
        </r>
        <r>
          <rPr>
            <sz val="9"/>
            <color indexed="81"/>
            <rFont val="Tahoma"/>
            <family val="2"/>
          </rPr>
          <t xml:space="preserve">
</t>
        </r>
        <r>
          <rPr>
            <b/>
            <sz val="9"/>
            <color indexed="81"/>
            <rFont val="Tahoma"/>
            <family val="2"/>
          </rPr>
          <t xml:space="preserve">43,1 kgCO2e/tonne
</t>
        </r>
        <r>
          <rPr>
            <sz val="9"/>
            <color indexed="81"/>
            <rFont val="Tahoma"/>
            <family val="2"/>
          </rPr>
          <t xml:space="preserve">Divisé par 1000 pour obtenir des tonnes
Source: Base carbone ADEME 
Scope 3/ Traitement de déchets/ Déchets organiques/ Papiers/ Papier - fin de vie moyenne
</t>
        </r>
      </text>
    </comment>
    <comment ref="AI45" authorId="0" shapeId="0">
      <text>
        <r>
          <rPr>
            <b/>
            <sz val="9"/>
            <color indexed="81"/>
            <rFont val="Tahoma"/>
            <family val="2"/>
          </rPr>
          <t>FLORES-GUTIERREZ Josue-Fernando:</t>
        </r>
        <r>
          <rPr>
            <sz val="9"/>
            <color indexed="81"/>
            <rFont val="Tahoma"/>
            <family val="2"/>
          </rPr>
          <t xml:space="preserve">
Pas d'incertitude dans la Base Carbone -ADEME</t>
        </r>
      </text>
    </comment>
    <comment ref="F46" authorId="0" shapeId="0">
      <text>
        <r>
          <rPr>
            <b/>
            <sz val="9"/>
            <color indexed="81"/>
            <rFont val="Tahoma"/>
            <family val="2"/>
          </rPr>
          <t>FLORES-GUTIERREZ Josue-Fernando:</t>
        </r>
        <r>
          <rPr>
            <sz val="9"/>
            <color indexed="81"/>
            <rFont val="Tahoma"/>
            <family val="2"/>
          </rPr>
          <t xml:space="preserve">
</t>
        </r>
        <r>
          <rPr>
            <b/>
            <sz val="9"/>
            <color indexed="81"/>
            <rFont val="Tahoma"/>
            <family val="2"/>
          </rPr>
          <t>37,9 kgCO2e/tonne</t>
        </r>
        <r>
          <rPr>
            <sz val="9"/>
            <color indexed="81"/>
            <rFont val="Tahoma"/>
            <family val="2"/>
          </rPr>
          <t xml:space="preserve">
Divisé par 1000 pour obtenir des tonnes
Source: Base carbone ADEME 
Scope 3/ Traitement de déchets/ Déchets organiques/ Cartons/ Carton - fin de vie moyenne</t>
        </r>
      </text>
    </comment>
    <comment ref="P46" authorId="1" shapeId="0">
      <text>
        <r>
          <rPr>
            <b/>
            <sz val="9"/>
            <color indexed="81"/>
            <rFont val="Tahoma"/>
            <family val="2"/>
          </rPr>
          <t>LETANG Kristell:</t>
        </r>
        <r>
          <rPr>
            <sz val="9"/>
            <color indexed="81"/>
            <rFont val="Tahoma"/>
            <family val="2"/>
          </rPr>
          <t xml:space="preserve">
KgCO2e/tonne
Carton - fin de vie moyenne
Divisé par 1000 pour obtenir des tonnes</t>
        </r>
      </text>
    </comment>
    <comment ref="Q46" authorId="0" shapeId="0">
      <text>
        <r>
          <rPr>
            <b/>
            <sz val="9"/>
            <color indexed="81"/>
            <rFont val="Tahoma"/>
            <family val="2"/>
          </rPr>
          <t>FLORES-GUTIERREZ Josue-Fernando:</t>
        </r>
        <r>
          <rPr>
            <sz val="9"/>
            <color indexed="81"/>
            <rFont val="Tahoma"/>
            <family val="2"/>
          </rPr>
          <t xml:space="preserve">
</t>
        </r>
        <r>
          <rPr>
            <b/>
            <sz val="9"/>
            <color indexed="81"/>
            <rFont val="Tahoma"/>
            <family val="2"/>
          </rPr>
          <t>37,9 kgCO2e/tonne</t>
        </r>
        <r>
          <rPr>
            <sz val="9"/>
            <color indexed="81"/>
            <rFont val="Tahoma"/>
            <family val="2"/>
          </rPr>
          <t xml:space="preserve">
Divisé par 1000 pour obtenir des tonnes
Source: Base carbone ADEME 
Scope 3/ Traitement de déchets/ Déchets organiques/ Cartons/ Carton - fin de vie moyenne</t>
        </r>
      </text>
    </comment>
    <comment ref="X46" authorId="1" shapeId="0">
      <text>
        <r>
          <rPr>
            <b/>
            <sz val="9"/>
            <color indexed="81"/>
            <rFont val="Tahoma"/>
            <family val="2"/>
          </rPr>
          <t>LETANG Kristell:</t>
        </r>
        <r>
          <rPr>
            <sz val="9"/>
            <color indexed="81"/>
            <rFont val="Tahoma"/>
            <family val="2"/>
          </rPr>
          <t xml:space="preserve">
Pas d'incertitude sur la base carbone</t>
        </r>
      </text>
    </comment>
    <comment ref="AB46" authorId="0" shapeId="0">
      <text>
        <r>
          <rPr>
            <b/>
            <sz val="9"/>
            <color indexed="81"/>
            <rFont val="Tahoma"/>
            <family val="2"/>
          </rPr>
          <t>FLORES-GUTIERREZ Josue-Fernando:</t>
        </r>
        <r>
          <rPr>
            <sz val="9"/>
            <color indexed="81"/>
            <rFont val="Tahoma"/>
            <family val="2"/>
          </rPr>
          <t xml:space="preserve">
</t>
        </r>
        <r>
          <rPr>
            <b/>
            <sz val="9"/>
            <color indexed="81"/>
            <rFont val="Tahoma"/>
            <family val="2"/>
          </rPr>
          <t>37,9 kgCO2e/tonne</t>
        </r>
        <r>
          <rPr>
            <sz val="9"/>
            <color indexed="81"/>
            <rFont val="Tahoma"/>
            <family val="2"/>
          </rPr>
          <t xml:space="preserve">
Divisé par 1000 pour obtenir des tonnes
Source: Base carbone ADEME 
Scope 3/ Traitement de déchets/ Déchets organiques/ Cartons/ Carton - fin de vie moyenne</t>
        </r>
      </text>
    </comment>
    <comment ref="AI46" authorId="0" shapeId="0">
      <text>
        <r>
          <rPr>
            <b/>
            <sz val="9"/>
            <color indexed="81"/>
            <rFont val="Tahoma"/>
            <family val="2"/>
          </rPr>
          <t>FLORES-GUTIERREZ Josue-Fernando:</t>
        </r>
        <r>
          <rPr>
            <sz val="9"/>
            <color indexed="81"/>
            <rFont val="Tahoma"/>
            <family val="2"/>
          </rPr>
          <t xml:space="preserve">
Pas d'incertitude dans la Base Carbone -ADEME</t>
        </r>
      </text>
    </comment>
    <comment ref="F47" authorId="0" shapeId="0">
      <text>
        <r>
          <rPr>
            <b/>
            <sz val="9"/>
            <color indexed="81"/>
            <rFont val="Tahoma"/>
            <family val="2"/>
          </rPr>
          <t>FLORES-GUTIERREZ Josue-Fernando:</t>
        </r>
        <r>
          <rPr>
            <sz val="9"/>
            <color indexed="81"/>
            <rFont val="Tahoma"/>
            <family val="2"/>
          </rPr>
          <t xml:space="preserve">
</t>
        </r>
        <r>
          <rPr>
            <b/>
            <sz val="9"/>
            <color indexed="81"/>
            <rFont val="Tahoma"/>
            <family val="2"/>
          </rPr>
          <t>33 kgCO2e/tonne</t>
        </r>
        <r>
          <rPr>
            <sz val="9"/>
            <color indexed="81"/>
            <rFont val="Tahoma"/>
            <family val="2"/>
          </rPr>
          <t xml:space="preserve">
Divisé par 1000 pour obtenir des tonnes
Source: Base carbone ADEME 
Scope 3/ Traitement de déchets/ Déchets minéraux/ Autres déchets minéraux/ Déchet mineraux - fin de vie moyenne</t>
        </r>
      </text>
    </comment>
    <comment ref="M47" authorId="0" shapeId="0">
      <text>
        <r>
          <rPr>
            <b/>
            <sz val="9"/>
            <color indexed="81"/>
            <rFont val="Tahoma"/>
            <family val="2"/>
          </rPr>
          <t>FLORES-GUTIERREZ Josue-Fernando:</t>
        </r>
        <r>
          <rPr>
            <sz val="9"/>
            <color indexed="81"/>
            <rFont val="Tahoma"/>
            <family val="2"/>
          </rPr>
          <t xml:space="preserve">
Pas d'incertitude dans la Base Carbone</t>
        </r>
      </text>
    </comment>
    <comment ref="P47" authorId="1" shapeId="0">
      <text>
        <r>
          <rPr>
            <b/>
            <sz val="9"/>
            <color indexed="81"/>
            <rFont val="Tahoma"/>
            <family val="2"/>
          </rPr>
          <t>LETANG Kristell:</t>
        </r>
        <r>
          <rPr>
            <sz val="9"/>
            <color indexed="81"/>
            <rFont val="Tahoma"/>
            <family val="2"/>
          </rPr>
          <t xml:space="preserve">
KgCO2e/tonne
Base carbone
Déchets minéraux - fin de vie moyenne
Divisé par 1000 pour obtenir des tonnes</t>
        </r>
      </text>
    </comment>
    <comment ref="Q47" authorId="0" shapeId="0">
      <text>
        <r>
          <rPr>
            <b/>
            <sz val="9"/>
            <color indexed="81"/>
            <rFont val="Tahoma"/>
            <family val="2"/>
          </rPr>
          <t>FLORES-GUTIERREZ Josue-Fernando:</t>
        </r>
        <r>
          <rPr>
            <sz val="9"/>
            <color indexed="81"/>
            <rFont val="Tahoma"/>
            <family val="2"/>
          </rPr>
          <t xml:space="preserve">
</t>
        </r>
        <r>
          <rPr>
            <b/>
            <sz val="9"/>
            <color indexed="81"/>
            <rFont val="Tahoma"/>
            <family val="2"/>
          </rPr>
          <t>33 kgCO2e/tonne</t>
        </r>
        <r>
          <rPr>
            <sz val="9"/>
            <color indexed="81"/>
            <rFont val="Tahoma"/>
            <family val="2"/>
          </rPr>
          <t xml:space="preserve">
Divisé par 1000 pour obtenir des tonnes
Source: Base carbone ADEME 
Scope 3/ Traitement de déchets/ Déchets minéraux/ Autres déchets minéraux/ Déchet mineraux - fin de vie moyenne</t>
        </r>
      </text>
    </comment>
    <comment ref="X47" authorId="1" shapeId="0">
      <text>
        <r>
          <rPr>
            <b/>
            <sz val="9"/>
            <color indexed="81"/>
            <rFont val="Tahoma"/>
            <family val="2"/>
          </rPr>
          <t>LETANG Kristell:</t>
        </r>
        <r>
          <rPr>
            <sz val="9"/>
            <color indexed="81"/>
            <rFont val="Tahoma"/>
            <family val="2"/>
          </rPr>
          <t xml:space="preserve">
Pas d'incertitude sur la base carbone</t>
        </r>
      </text>
    </comment>
    <comment ref="AB47" authorId="0" shapeId="0">
      <text>
        <r>
          <rPr>
            <b/>
            <sz val="9"/>
            <color indexed="81"/>
            <rFont val="Tahoma"/>
            <family val="2"/>
          </rPr>
          <t>FLORES-GUTIERREZ Josue-Fernando:</t>
        </r>
        <r>
          <rPr>
            <sz val="9"/>
            <color indexed="81"/>
            <rFont val="Tahoma"/>
            <family val="2"/>
          </rPr>
          <t xml:space="preserve">
</t>
        </r>
        <r>
          <rPr>
            <b/>
            <sz val="9"/>
            <color indexed="81"/>
            <rFont val="Tahoma"/>
            <family val="2"/>
          </rPr>
          <t>33 kgCO2e/tonne</t>
        </r>
        <r>
          <rPr>
            <sz val="9"/>
            <color indexed="81"/>
            <rFont val="Tahoma"/>
            <family val="2"/>
          </rPr>
          <t xml:space="preserve">
Divisé par 1000 pour obtenir des tonnes
Source: Base carbone ADEME 
Scope 3/ Traitement de déchets/ Déchets minéraux/ Autres déchets minéraux/ Déchet mineraux - fin de vie moyenne</t>
        </r>
      </text>
    </comment>
    <comment ref="AI47" authorId="0" shapeId="0">
      <text>
        <r>
          <rPr>
            <b/>
            <sz val="9"/>
            <color indexed="81"/>
            <rFont val="Tahoma"/>
            <family val="2"/>
          </rPr>
          <t>FLORES-GUTIERREZ Josue-Fernando:</t>
        </r>
        <r>
          <rPr>
            <sz val="9"/>
            <color indexed="81"/>
            <rFont val="Tahoma"/>
            <family val="2"/>
          </rPr>
          <t xml:space="preserve">
 Pas d'invertitudes sur la Base Carbone ADEME</t>
        </r>
      </text>
    </comment>
    <comment ref="E48" authorId="2" shapeId="0">
      <text>
        <r>
          <rPr>
            <b/>
            <sz val="10"/>
            <color indexed="81"/>
            <rFont val="Tahoma"/>
            <family val="2"/>
          </rPr>
          <t>NG :</t>
        </r>
        <r>
          <rPr>
            <sz val="10"/>
            <color indexed="81"/>
            <rFont val="Tahoma"/>
            <family val="2"/>
          </rPr>
          <t xml:space="preserve">
 source Bilan carbone - CET avec valorisation electrique
</t>
        </r>
      </text>
    </comment>
    <comment ref="F48" authorId="0" shapeId="0">
      <text>
        <r>
          <rPr>
            <b/>
            <sz val="9"/>
            <color indexed="81"/>
            <rFont val="Tahoma"/>
            <family val="2"/>
          </rPr>
          <t>FLORES-GUTIERREZ Josue-Fernando:</t>
        </r>
        <r>
          <rPr>
            <sz val="9"/>
            <color indexed="81"/>
            <rFont val="Tahoma"/>
            <family val="2"/>
          </rPr>
          <t xml:space="preserve">
</t>
        </r>
        <r>
          <rPr>
            <b/>
            <sz val="9"/>
            <color indexed="81"/>
            <rFont val="Tahoma"/>
            <family val="2"/>
          </rPr>
          <t>215 kgCO2e/tonne</t>
        </r>
        <r>
          <rPr>
            <sz val="9"/>
            <color indexed="81"/>
            <rFont val="Tahoma"/>
            <family val="2"/>
          </rPr>
          <t xml:space="preserve">
Divisé par 1000 pour obtenir des tonnes
Source: Base carbone ADEME 
Scope 3/ Traitement de déchets/ Ordures ménagères/ Ordures ménagères - fin de vie moyenne</t>
        </r>
      </text>
    </comment>
    <comment ref="P48" authorId="1" shapeId="0">
      <text>
        <r>
          <rPr>
            <b/>
            <sz val="9"/>
            <color indexed="81"/>
            <rFont val="Tahoma"/>
            <family val="2"/>
          </rPr>
          <t>LETANG Kristell:</t>
        </r>
        <r>
          <rPr>
            <sz val="9"/>
            <color indexed="81"/>
            <rFont val="Tahoma"/>
            <family val="2"/>
          </rPr>
          <t xml:space="preserve">
Ordures ménagères fin de vie moyenne
KgCOe/tonne
Divisé par 1000 pour obtenir des tonnes</t>
        </r>
      </text>
    </comment>
    <comment ref="Q48" authorId="0" shapeId="0">
      <text>
        <r>
          <rPr>
            <b/>
            <sz val="9"/>
            <color indexed="81"/>
            <rFont val="Tahoma"/>
            <family val="2"/>
          </rPr>
          <t>FLORES-GUTIERREZ Josue-Fernando:</t>
        </r>
        <r>
          <rPr>
            <sz val="9"/>
            <color indexed="81"/>
            <rFont val="Tahoma"/>
            <family val="2"/>
          </rPr>
          <t xml:space="preserve">
</t>
        </r>
        <r>
          <rPr>
            <b/>
            <sz val="9"/>
            <color indexed="81"/>
            <rFont val="Tahoma"/>
            <family val="2"/>
          </rPr>
          <t>215 kgCO2e/tonne</t>
        </r>
        <r>
          <rPr>
            <sz val="9"/>
            <color indexed="81"/>
            <rFont val="Tahoma"/>
            <family val="2"/>
          </rPr>
          <t xml:space="preserve">
Divisé par 1000 pour obtenir des tonnes
Source: Base carbone ADEME 
Scope 3/ Traitement de déchets/ Ordures ménagères/ Ordures ménagères - fin de vie moyenne</t>
        </r>
      </text>
    </comment>
    <comment ref="X48" authorId="1" shapeId="0">
      <text>
        <r>
          <rPr>
            <b/>
            <sz val="9"/>
            <color indexed="81"/>
            <rFont val="Tahoma"/>
            <family val="2"/>
          </rPr>
          <t>LETANG Kristell:</t>
        </r>
        <r>
          <rPr>
            <sz val="9"/>
            <color indexed="81"/>
            <rFont val="Tahoma"/>
            <family val="2"/>
          </rPr>
          <t xml:space="preserve">
Pas d'incertitude sur la base carbone
Repris de 2010</t>
        </r>
      </text>
    </comment>
    <comment ref="AB48" authorId="0" shapeId="0">
      <text>
        <r>
          <rPr>
            <b/>
            <sz val="9"/>
            <color indexed="81"/>
            <rFont val="Tahoma"/>
            <family val="2"/>
          </rPr>
          <t>FLORES-GUTIERREZ Josue-Fernando:</t>
        </r>
        <r>
          <rPr>
            <sz val="9"/>
            <color indexed="81"/>
            <rFont val="Tahoma"/>
            <family val="2"/>
          </rPr>
          <t xml:space="preserve">
</t>
        </r>
        <r>
          <rPr>
            <b/>
            <sz val="9"/>
            <color indexed="81"/>
            <rFont val="Tahoma"/>
            <family val="2"/>
          </rPr>
          <t>215 kgCO2e/tonne</t>
        </r>
        <r>
          <rPr>
            <sz val="9"/>
            <color indexed="81"/>
            <rFont val="Tahoma"/>
            <family val="2"/>
          </rPr>
          <t xml:space="preserve">
Divisé par 1000 pour obtenir des tonnes
Source: Base carbone ADEME 
Scope 3/ Traitement de déchets/ Ordures ménagères/ Ordures ménagères - fin de vie moyenne</t>
        </r>
      </text>
    </comment>
    <comment ref="AI48" authorId="0" shapeId="0">
      <text>
        <r>
          <rPr>
            <b/>
            <sz val="9"/>
            <color indexed="81"/>
            <rFont val="Tahoma"/>
            <family val="2"/>
          </rPr>
          <t>FLORES-GUTIERREZ Josue-Fernando:</t>
        </r>
        <r>
          <rPr>
            <sz val="9"/>
            <color indexed="81"/>
            <rFont val="Tahoma"/>
            <family val="2"/>
          </rPr>
          <t xml:space="preserve">
50% inceritude reprise de celui de 2010</t>
        </r>
      </text>
    </comment>
    <comment ref="W49" authorId="1" shapeId="0">
      <text>
        <r>
          <rPr>
            <b/>
            <sz val="9"/>
            <color indexed="81"/>
            <rFont val="Tahoma"/>
            <family val="2"/>
          </rPr>
          <t>LETANG Kristell:</t>
        </r>
        <r>
          <rPr>
            <sz val="9"/>
            <color indexed="81"/>
            <rFont val="Tahoma"/>
            <family val="2"/>
          </rPr>
          <t xml:space="preserve">
Somme des résultats DAS et des résultats DIS</t>
        </r>
      </text>
    </comment>
    <comment ref="AH49" authorId="1" shapeId="0">
      <text>
        <r>
          <rPr>
            <b/>
            <sz val="9"/>
            <color indexed="81"/>
            <rFont val="Tahoma"/>
            <family val="2"/>
          </rPr>
          <t>LETANG Kristell:</t>
        </r>
        <r>
          <rPr>
            <sz val="9"/>
            <color indexed="81"/>
            <rFont val="Tahoma"/>
            <family val="2"/>
          </rPr>
          <t xml:space="preserve">
Somme des résultats DAS et des résultats DIS</t>
        </r>
      </text>
    </comment>
    <comment ref="AL49" authorId="1" shapeId="0">
      <text>
        <r>
          <rPr>
            <b/>
            <sz val="9"/>
            <color indexed="81"/>
            <rFont val="Tahoma"/>
            <family val="2"/>
          </rPr>
          <t>LETANG Kristell:</t>
        </r>
        <r>
          <rPr>
            <sz val="9"/>
            <color indexed="81"/>
            <rFont val="Tahoma"/>
            <family val="2"/>
          </rPr>
          <t xml:space="preserve">
Donnée non pertinente
Regroupement DAS + DIS
Pas de distinction faite entre les 2 en 2010</t>
        </r>
      </text>
    </comment>
    <comment ref="F50" authorId="0" shapeId="0">
      <text>
        <r>
          <rPr>
            <b/>
            <sz val="9"/>
            <color indexed="81"/>
            <rFont val="Tahoma"/>
            <family val="2"/>
          </rPr>
          <t>FLORES-GUTIERREZ Josue-Fernando:</t>
        </r>
        <r>
          <rPr>
            <sz val="9"/>
            <color indexed="81"/>
            <rFont val="Tahoma"/>
            <family val="2"/>
          </rPr>
          <t xml:space="preserve">
</t>
        </r>
        <r>
          <rPr>
            <b/>
            <sz val="9"/>
            <color indexed="81"/>
            <rFont val="Tahoma"/>
            <family val="2"/>
          </rPr>
          <t>706 kgCO2e/tonne</t>
        </r>
        <r>
          <rPr>
            <sz val="9"/>
            <color indexed="81"/>
            <rFont val="Tahoma"/>
            <family val="2"/>
          </rPr>
          <t xml:space="preserve">
Divisé par 1000 pour obtenir des tonnes
Source: Base carbone ADEME 
Scope 3/ Traitement de déchets/ Déchets dangereux/ DIS - fin de vie incineration</t>
        </r>
      </text>
    </comment>
    <comment ref="P50" authorId="1" shapeId="0">
      <text>
        <r>
          <rPr>
            <b/>
            <sz val="9"/>
            <color indexed="81"/>
            <rFont val="Tahoma"/>
            <family val="2"/>
          </rPr>
          <t>LETANG Kristell:</t>
        </r>
        <r>
          <rPr>
            <sz val="9"/>
            <color indexed="81"/>
            <rFont val="Tahoma"/>
            <family val="2"/>
          </rPr>
          <t xml:space="preserve">
KgCO2e/tonne
Déchets dangereux
DIS - Déchets industriels spéciaux - fin de vie incinération
Divisé par 1000 pour obtenir des tonnes</t>
        </r>
      </text>
    </comment>
    <comment ref="Q50" authorId="0" shapeId="0">
      <text>
        <r>
          <rPr>
            <b/>
            <sz val="9"/>
            <color indexed="81"/>
            <rFont val="Tahoma"/>
            <family val="2"/>
          </rPr>
          <t>FLORES-GUTIERREZ Josue-Fernando:</t>
        </r>
        <r>
          <rPr>
            <sz val="9"/>
            <color indexed="81"/>
            <rFont val="Tahoma"/>
            <family val="2"/>
          </rPr>
          <t xml:space="preserve">
</t>
        </r>
        <r>
          <rPr>
            <b/>
            <sz val="9"/>
            <color indexed="81"/>
            <rFont val="Tahoma"/>
            <family val="2"/>
          </rPr>
          <t>706 kgCO2e/tonne</t>
        </r>
        <r>
          <rPr>
            <sz val="9"/>
            <color indexed="81"/>
            <rFont val="Tahoma"/>
            <family val="2"/>
          </rPr>
          <t xml:space="preserve">
Divisé par 1000 pour obtenir des tonnes
Source: Base carbone ADEME 
Scope 3/ Traitement de déchets/ Déchets dangereux/ DIS - fin de vie incineration</t>
        </r>
      </text>
    </comment>
    <comment ref="X50" authorId="0" shapeId="0">
      <text>
        <r>
          <rPr>
            <b/>
            <sz val="9"/>
            <color indexed="81"/>
            <rFont val="Tahoma"/>
            <family val="2"/>
          </rPr>
          <t>FLORES-GUTIERREZ Josue-Fernando:</t>
        </r>
        <r>
          <rPr>
            <sz val="9"/>
            <color indexed="81"/>
            <rFont val="Tahoma"/>
            <family val="2"/>
          </rPr>
          <t xml:space="preserve">
50% d'incertitude 
Scope 3/ Gestion de déchets/ Déchets dangereux/ DIS Dechet industriel speciaux - fin de vie incineration/ Afficher détails</t>
        </r>
      </text>
    </comment>
    <comment ref="AB50" authorId="0" shapeId="0">
      <text>
        <r>
          <rPr>
            <b/>
            <sz val="9"/>
            <color indexed="81"/>
            <rFont val="Tahoma"/>
            <family val="2"/>
          </rPr>
          <t>FLORES-GUTIERREZ Josue-Fernando:</t>
        </r>
        <r>
          <rPr>
            <sz val="9"/>
            <color indexed="81"/>
            <rFont val="Tahoma"/>
            <family val="2"/>
          </rPr>
          <t xml:space="preserve">
</t>
        </r>
        <r>
          <rPr>
            <b/>
            <sz val="9"/>
            <color indexed="81"/>
            <rFont val="Tahoma"/>
            <family val="2"/>
          </rPr>
          <t>706 kgCO2e/tonne</t>
        </r>
        <r>
          <rPr>
            <sz val="9"/>
            <color indexed="81"/>
            <rFont val="Tahoma"/>
            <family val="2"/>
          </rPr>
          <t xml:space="preserve">
Divisé par 1000 pour obtenir des tonnes
Source: Base carbone ADEME 
Scope 3/ Traitement de déchets/ Déchets dangereux/ DIS - fin de vie incineration</t>
        </r>
      </text>
    </comment>
    <comment ref="AI50" authorId="0" shapeId="0">
      <text>
        <r>
          <rPr>
            <b/>
            <sz val="9"/>
            <color indexed="81"/>
            <rFont val="Tahoma"/>
            <family val="2"/>
          </rPr>
          <t>FLORES-GUTIERREZ Josue-Fernando:</t>
        </r>
        <r>
          <rPr>
            <sz val="9"/>
            <color indexed="81"/>
            <rFont val="Tahoma"/>
            <family val="2"/>
          </rPr>
          <t xml:space="preserve">
50% d'incertitude 
Scope 3/ Gestion de déchets/ Déchets dangereux/ DIS Dechet industriel speciaux - fin de vie incineration/ Afficher détails</t>
        </r>
      </text>
    </comment>
    <comment ref="F51" authorId="0" shapeId="0">
      <text>
        <r>
          <rPr>
            <b/>
            <sz val="9"/>
            <color indexed="81"/>
            <rFont val="Tahoma"/>
            <family val="2"/>
          </rPr>
          <t>FLORES-GUTIERREZ Josue-Fernando:</t>
        </r>
        <r>
          <rPr>
            <sz val="9"/>
            <color indexed="81"/>
            <rFont val="Tahoma"/>
            <family val="2"/>
          </rPr>
          <t xml:space="preserve">
</t>
        </r>
        <r>
          <rPr>
            <b/>
            <sz val="9"/>
            <color indexed="81"/>
            <rFont val="Tahoma"/>
            <family val="2"/>
          </rPr>
          <t>934 kgCO2e/tonne</t>
        </r>
        <r>
          <rPr>
            <sz val="9"/>
            <color indexed="81"/>
            <rFont val="Tahoma"/>
            <family val="2"/>
          </rPr>
          <t xml:space="preserve">
Divisé par 1000 pour obtenir des tonnes
Source: Base carbone ADEME 
Scope 3/ Traitement de déchets/ Déchets dangereux/ DAS - fin de vie incineration</t>
        </r>
      </text>
    </comment>
    <comment ref="P51" authorId="1" shapeId="0">
      <text>
        <r>
          <rPr>
            <b/>
            <sz val="9"/>
            <color indexed="81"/>
            <rFont val="Tahoma"/>
            <family val="2"/>
          </rPr>
          <t>LETANG Kristell:</t>
        </r>
        <r>
          <rPr>
            <sz val="9"/>
            <color indexed="81"/>
            <rFont val="Tahoma"/>
            <family val="2"/>
          </rPr>
          <t xml:space="preserve">
Source Base Carbone
KgCO2e/tonne
DAS - Déchets d'activités de soins - fin de vie incinération
Divisé par 1000 pour obtenir des tonnes</t>
        </r>
      </text>
    </comment>
    <comment ref="Q51" authorId="0" shapeId="0">
      <text>
        <r>
          <rPr>
            <b/>
            <sz val="9"/>
            <color indexed="81"/>
            <rFont val="Tahoma"/>
            <family val="2"/>
          </rPr>
          <t>FLORES-GUTIERREZ Josue-Fernando:</t>
        </r>
        <r>
          <rPr>
            <sz val="9"/>
            <color indexed="81"/>
            <rFont val="Tahoma"/>
            <family val="2"/>
          </rPr>
          <t xml:space="preserve">
</t>
        </r>
        <r>
          <rPr>
            <b/>
            <sz val="9"/>
            <color indexed="81"/>
            <rFont val="Tahoma"/>
            <family val="2"/>
          </rPr>
          <t>934 kgCO2e/tonne</t>
        </r>
        <r>
          <rPr>
            <sz val="9"/>
            <color indexed="81"/>
            <rFont val="Tahoma"/>
            <family val="2"/>
          </rPr>
          <t xml:space="preserve">
Divisé par 1000 pour obtenir des tonnes
Source: Base carbone ADEME 
Scope 3/ Traitement de déchets/ Déchets dangereux/ DAS - fin de vie incineration</t>
        </r>
      </text>
    </comment>
    <comment ref="X51" authorId="0" shapeId="0">
      <text>
        <r>
          <rPr>
            <b/>
            <sz val="9"/>
            <color indexed="81"/>
            <rFont val="Tahoma"/>
            <family val="2"/>
          </rPr>
          <t>FLORES-GUTIERREZ Josue-Fernando:</t>
        </r>
        <r>
          <rPr>
            <sz val="9"/>
            <color indexed="81"/>
            <rFont val="Tahoma"/>
            <family val="2"/>
          </rPr>
          <t xml:space="preserve">
50% d'incertitude 
Scope 3/ Gestion de déchets/ Déchets dangereux/ DIS Dechet industriel speciaux - fin de vie incineration/ Afficher détails</t>
        </r>
      </text>
    </comment>
    <comment ref="AB51" authorId="0" shapeId="0">
      <text>
        <r>
          <rPr>
            <b/>
            <sz val="9"/>
            <color indexed="81"/>
            <rFont val="Tahoma"/>
            <family val="2"/>
          </rPr>
          <t>FLORES-GUTIERREZ Josue-Fernando:</t>
        </r>
        <r>
          <rPr>
            <sz val="9"/>
            <color indexed="81"/>
            <rFont val="Tahoma"/>
            <family val="2"/>
          </rPr>
          <t xml:space="preserve">
</t>
        </r>
        <r>
          <rPr>
            <b/>
            <sz val="9"/>
            <color indexed="81"/>
            <rFont val="Tahoma"/>
            <family val="2"/>
          </rPr>
          <t>934 kgCO2e/tonne</t>
        </r>
        <r>
          <rPr>
            <sz val="9"/>
            <color indexed="81"/>
            <rFont val="Tahoma"/>
            <family val="2"/>
          </rPr>
          <t xml:space="preserve">
Divisé par 1000 pour obtenir des tonnes
Source: Base carbone ADEME 
Scope 3/ Traitement de déchets/ Déchets dangereux/ DAS - fin de vie incineration</t>
        </r>
      </text>
    </comment>
    <comment ref="AI51" authorId="0" shapeId="0">
      <text>
        <r>
          <rPr>
            <b/>
            <sz val="9"/>
            <color indexed="81"/>
            <rFont val="Tahoma"/>
            <family val="2"/>
          </rPr>
          <t>FLORES-GUTIERREZ Josue-Fernando:</t>
        </r>
        <r>
          <rPr>
            <sz val="9"/>
            <color indexed="81"/>
            <rFont val="Tahoma"/>
            <family val="2"/>
          </rPr>
          <t xml:space="preserve">
50% d'incertitude 
Scope 3/ Gestion de déchets/ Déchets dangereux/ DIS Dechet industriel speciaux - fin de vie incineration/ Afficher détails</t>
        </r>
      </text>
    </comment>
    <comment ref="E53" authorId="2" shapeId="0">
      <text>
        <r>
          <rPr>
            <b/>
            <sz val="10"/>
            <color indexed="81"/>
            <rFont val="Tahoma"/>
            <family val="2"/>
          </rPr>
          <t xml:space="preserve">NG:
</t>
        </r>
        <r>
          <rPr>
            <sz val="10"/>
            <color indexed="81"/>
            <rFont val="Tahoma"/>
            <family val="2"/>
          </rPr>
          <t>source : Base carbone :
voiture particulière essence moyenne -</t>
        </r>
      </text>
    </comment>
    <comment ref="F53" authorId="0" shapeId="0">
      <text>
        <r>
          <rPr>
            <b/>
            <sz val="9"/>
            <color indexed="81"/>
            <rFont val="Tahoma"/>
            <family val="2"/>
          </rPr>
          <t>FLORES-GUTIERREZ Josue-Fernando:</t>
        </r>
        <r>
          <rPr>
            <sz val="9"/>
            <color indexed="81"/>
            <rFont val="Tahoma"/>
            <family val="2"/>
          </rPr>
          <t xml:space="preserve">
Source: Base Carbone ADEME
Voiture particulière - puissance fiscale moyenne, motorisation essence 
0.259 kgCO2e/km
Divisé par 1000 pour obtenir de tonnes</t>
        </r>
      </text>
    </comment>
    <comment ref="P53" authorId="1" shapeId="0">
      <text>
        <r>
          <rPr>
            <b/>
            <sz val="9"/>
            <color indexed="81"/>
            <rFont val="Tahoma"/>
            <family val="2"/>
          </rPr>
          <t>LETANG Kristell:</t>
        </r>
        <r>
          <rPr>
            <sz val="9"/>
            <color indexed="81"/>
            <rFont val="Tahoma"/>
            <family val="2"/>
          </rPr>
          <t xml:space="preserve">
Voiture particulière puissance fiscale moyenne motorisation essence KgCO2e/Km
Divisé par 1000 pour obtenir des tonnes</t>
        </r>
      </text>
    </comment>
    <comment ref="Q53" authorId="0" shapeId="0">
      <text>
        <r>
          <rPr>
            <b/>
            <sz val="9"/>
            <color indexed="81"/>
            <rFont val="Tahoma"/>
            <family val="2"/>
          </rPr>
          <t>FLORES-GUTIERREZ Josue-Fernando:</t>
        </r>
        <r>
          <rPr>
            <sz val="9"/>
            <color indexed="81"/>
            <rFont val="Tahoma"/>
            <family val="2"/>
          </rPr>
          <t xml:space="preserve">
Source: Base Carbone ADEME
Voiture particulière - puissance fiscale moyenne, motorisation essence 
0.259 kgCO2e/km
Divisé par 1000 pour obtenir de tonnes</t>
        </r>
      </text>
    </comment>
    <comment ref="AB53" authorId="0" shapeId="0">
      <text>
        <r>
          <rPr>
            <b/>
            <sz val="9"/>
            <color indexed="81"/>
            <rFont val="Tahoma"/>
            <family val="2"/>
          </rPr>
          <t>FLORES-GUTIERREZ Josue-Fernando:</t>
        </r>
        <r>
          <rPr>
            <sz val="9"/>
            <color indexed="81"/>
            <rFont val="Tahoma"/>
            <family val="2"/>
          </rPr>
          <t xml:space="preserve">
Source: Base Carbone ADEME
Voiture particulière - puissance fiscale moyenne, motorisation essence 
0.259 kgCO2e/km
Divisé par 1000 pour obtenir de tonnes</t>
        </r>
      </text>
    </comment>
    <comment ref="F54" authorId="0" shapeId="0">
      <text>
        <r>
          <rPr>
            <b/>
            <sz val="9"/>
            <color indexed="81"/>
            <rFont val="Tahoma"/>
            <family val="2"/>
          </rPr>
          <t>FLORES-GUTIERREZ Josue-Fernando:</t>
        </r>
        <r>
          <rPr>
            <sz val="9"/>
            <color indexed="81"/>
            <rFont val="Tahoma"/>
            <family val="2"/>
          </rPr>
          <t xml:space="preserve">
Source: Base Carbone ADEME
TGV, Train Grande Vitesse 
3,69e-3 kgCO2e/km
Divisé par 1000 pour obtenir de tonnes</t>
        </r>
      </text>
    </comment>
    <comment ref="P54" authorId="1" shapeId="0">
      <text>
        <r>
          <rPr>
            <b/>
            <sz val="9"/>
            <color indexed="81"/>
            <rFont val="Tahoma"/>
            <family val="2"/>
          </rPr>
          <t>LETANG Kristell:</t>
        </r>
        <r>
          <rPr>
            <sz val="9"/>
            <color indexed="81"/>
            <rFont val="Tahoma"/>
            <family val="2"/>
          </rPr>
          <t xml:space="preserve">
TGV
KgCO2e/passager.km
Divisé par 1000 pour obtenir des tonnes</t>
        </r>
      </text>
    </comment>
    <comment ref="Q54" authorId="0" shapeId="0">
      <text>
        <r>
          <rPr>
            <b/>
            <sz val="9"/>
            <color indexed="81"/>
            <rFont val="Tahoma"/>
            <family val="2"/>
          </rPr>
          <t>FLORES-GUTIERREZ Josue-Fernando:</t>
        </r>
        <r>
          <rPr>
            <sz val="9"/>
            <color indexed="81"/>
            <rFont val="Tahoma"/>
            <family val="2"/>
          </rPr>
          <t xml:space="preserve">
Source: Base Carbone ADEME
TGV, Train Grande Vitesse 
3,69e-3 kgCO2e/km
Divisé par 1000 pour obtenir de tonnes</t>
        </r>
      </text>
    </comment>
    <comment ref="AB54" authorId="0" shapeId="0">
      <text>
        <r>
          <rPr>
            <b/>
            <sz val="9"/>
            <color indexed="81"/>
            <rFont val="Tahoma"/>
            <family val="2"/>
          </rPr>
          <t>FLORES-GUTIERREZ Josue-Fernando:</t>
        </r>
        <r>
          <rPr>
            <sz val="9"/>
            <color indexed="81"/>
            <rFont val="Tahoma"/>
            <family val="2"/>
          </rPr>
          <t xml:space="preserve">
Source: Base Carbone ADEME
TGV, Train Grande Vitesse 
3,69e-3 kgCO2e/km
Divisé par 1000 pour obtenir de tonnes</t>
        </r>
      </text>
    </comment>
    <comment ref="E55" authorId="2" shapeId="0">
      <text>
        <r>
          <rPr>
            <b/>
            <sz val="10"/>
            <color indexed="81"/>
            <rFont val="Tahoma"/>
            <family val="2"/>
          </rPr>
          <t xml:space="preserve">NG </t>
        </r>
        <r>
          <rPr>
            <sz val="10"/>
            <color indexed="81"/>
            <rFont val="Tahoma"/>
            <family val="2"/>
          </rPr>
          <t xml:space="preserve">: facteur de conversion méthode V6 Ademe pour le bus
</t>
        </r>
      </text>
    </comment>
    <comment ref="F55" authorId="0" shapeId="0">
      <text>
        <r>
          <rPr>
            <b/>
            <sz val="9"/>
            <color indexed="81"/>
            <rFont val="Tahoma"/>
            <family val="2"/>
          </rPr>
          <t>FLORES-GUTIERREZ Josue-Fernando:</t>
        </r>
        <r>
          <rPr>
            <sz val="9"/>
            <color indexed="81"/>
            <rFont val="Tahoma"/>
            <family val="2"/>
          </rPr>
          <t xml:space="preserve">
</t>
        </r>
        <r>
          <rPr>
            <b/>
            <sz val="9"/>
            <color indexed="81"/>
            <rFont val="Tahoma"/>
            <family val="2"/>
          </rPr>
          <t>0,154 KgCO2e/passager.km</t>
        </r>
        <r>
          <rPr>
            <sz val="9"/>
            <color indexed="81"/>
            <rFont val="Tahoma"/>
            <family val="2"/>
          </rPr>
          <t xml:space="preserve">
Bus agglomérations de plus de 250 000 hab
Divisé par 1000 pour obtenir des tonnes</t>
        </r>
      </text>
    </comment>
    <comment ref="P55" authorId="1" shapeId="0">
      <text>
        <r>
          <rPr>
            <b/>
            <sz val="9"/>
            <color indexed="81"/>
            <rFont val="Tahoma"/>
            <family val="2"/>
          </rPr>
          <t>LETANG Kristell:</t>
        </r>
        <r>
          <rPr>
            <sz val="9"/>
            <color indexed="81"/>
            <rFont val="Tahoma"/>
            <family val="2"/>
          </rPr>
          <t xml:space="preserve">
Bus agglomérations de plus de 250 000 hab
KgCO2e/passager.km
Divisé par 1000 pour obtenir des tonnes</t>
        </r>
      </text>
    </comment>
    <comment ref="Q55" authorId="0" shapeId="0">
      <text>
        <r>
          <rPr>
            <b/>
            <sz val="9"/>
            <color indexed="81"/>
            <rFont val="Tahoma"/>
            <family val="2"/>
          </rPr>
          <t>FLORES-GUTIERREZ Josue-Fernando:</t>
        </r>
        <r>
          <rPr>
            <sz val="9"/>
            <color indexed="81"/>
            <rFont val="Tahoma"/>
            <family val="2"/>
          </rPr>
          <t xml:space="preserve">
</t>
        </r>
        <r>
          <rPr>
            <b/>
            <sz val="9"/>
            <color indexed="81"/>
            <rFont val="Tahoma"/>
            <family val="2"/>
          </rPr>
          <t>0,154 KgCO2e/passager.km</t>
        </r>
        <r>
          <rPr>
            <sz val="9"/>
            <color indexed="81"/>
            <rFont val="Tahoma"/>
            <family val="2"/>
          </rPr>
          <t xml:space="preserve">
Bus agglomérations de plus de 250 000 hab
Divisé par 1000 pour obtenir des tonnes</t>
        </r>
      </text>
    </comment>
    <comment ref="AB55" authorId="0" shapeId="0">
      <text>
        <r>
          <rPr>
            <b/>
            <sz val="9"/>
            <color indexed="81"/>
            <rFont val="Tahoma"/>
            <family val="2"/>
          </rPr>
          <t>FLORES-GUTIERREZ Josue-Fernando:</t>
        </r>
        <r>
          <rPr>
            <sz val="9"/>
            <color indexed="81"/>
            <rFont val="Tahoma"/>
            <family val="2"/>
          </rPr>
          <t xml:space="preserve">
</t>
        </r>
        <r>
          <rPr>
            <b/>
            <sz val="9"/>
            <color indexed="81"/>
            <rFont val="Tahoma"/>
            <family val="2"/>
          </rPr>
          <t>0,154 KgCO2e/passager.km</t>
        </r>
        <r>
          <rPr>
            <sz val="9"/>
            <color indexed="81"/>
            <rFont val="Tahoma"/>
            <family val="2"/>
          </rPr>
          <t xml:space="preserve">
Bus agglomérations de plus de 250 000 hab
Divisé par 1000 pour obtenir des tonnes</t>
        </r>
      </text>
    </comment>
    <comment ref="F56" authorId="0" shapeId="0">
      <text>
        <r>
          <rPr>
            <b/>
            <sz val="9"/>
            <color indexed="81"/>
            <rFont val="Tahoma"/>
            <family val="2"/>
          </rPr>
          <t>FLORES-GUTIERREZ Josue-Fernando:</t>
        </r>
        <r>
          <rPr>
            <sz val="9"/>
            <color indexed="81"/>
            <rFont val="Tahoma"/>
            <family val="2"/>
          </rPr>
          <t xml:space="preserve">
</t>
        </r>
        <r>
          <rPr>
            <b/>
            <sz val="9"/>
            <color indexed="81"/>
            <rFont val="Tahoma"/>
            <family val="2"/>
          </rPr>
          <t>0,204 KgCO2e/Km</t>
        </r>
        <r>
          <rPr>
            <sz val="9"/>
            <color indexed="81"/>
            <rFont val="Tahoma"/>
            <family val="2"/>
          </rPr>
          <t xml:space="preserve">
Moto cylindré inf à 750 cm3, essence, zone urbaine
Divisé par 1000 pour obtenir des tonnes</t>
        </r>
      </text>
    </comment>
    <comment ref="P56" authorId="1" shapeId="0">
      <text>
        <r>
          <rPr>
            <b/>
            <sz val="9"/>
            <color indexed="81"/>
            <rFont val="Tahoma"/>
            <family val="2"/>
          </rPr>
          <t>LETANG Kristell:</t>
        </r>
        <r>
          <rPr>
            <sz val="9"/>
            <color indexed="81"/>
            <rFont val="Tahoma"/>
            <family val="2"/>
          </rPr>
          <t xml:space="preserve">
Moto cylindré inf à 750 cm3, essence, zone urbaine
KgCO2e/Km
Divisé par 1000 pour obtenir des tonnes</t>
        </r>
      </text>
    </comment>
    <comment ref="Q56" authorId="0" shapeId="0">
      <text>
        <r>
          <rPr>
            <b/>
            <sz val="9"/>
            <color indexed="81"/>
            <rFont val="Tahoma"/>
            <family val="2"/>
          </rPr>
          <t>FLORES-GUTIERREZ Josue-Fernando:</t>
        </r>
        <r>
          <rPr>
            <sz val="9"/>
            <color indexed="81"/>
            <rFont val="Tahoma"/>
            <family val="2"/>
          </rPr>
          <t xml:space="preserve">
</t>
        </r>
        <r>
          <rPr>
            <b/>
            <sz val="9"/>
            <color indexed="81"/>
            <rFont val="Tahoma"/>
            <family val="2"/>
          </rPr>
          <t>0,204 KgCO2e/Km</t>
        </r>
        <r>
          <rPr>
            <sz val="9"/>
            <color indexed="81"/>
            <rFont val="Tahoma"/>
            <family val="2"/>
          </rPr>
          <t xml:space="preserve">
Moto cylindré inf à 750 cm3, essence, zone urbaine
Divisé par 1000 pour obtenir des tonnes</t>
        </r>
      </text>
    </comment>
    <comment ref="AB56" authorId="0" shapeId="0">
      <text>
        <r>
          <rPr>
            <b/>
            <sz val="9"/>
            <color indexed="81"/>
            <rFont val="Tahoma"/>
            <family val="2"/>
          </rPr>
          <t>FLORES-GUTIERREZ Josue-Fernando:</t>
        </r>
        <r>
          <rPr>
            <sz val="9"/>
            <color indexed="81"/>
            <rFont val="Tahoma"/>
            <family val="2"/>
          </rPr>
          <t xml:space="preserve">
</t>
        </r>
        <r>
          <rPr>
            <b/>
            <sz val="9"/>
            <color indexed="81"/>
            <rFont val="Tahoma"/>
            <family val="2"/>
          </rPr>
          <t>0,204 KgCO2e/Km</t>
        </r>
        <r>
          <rPr>
            <sz val="9"/>
            <color indexed="81"/>
            <rFont val="Tahoma"/>
            <family val="2"/>
          </rPr>
          <t xml:space="preserve">
Moto cylindré inf à 750 cm3, essence, zone urbaine
Divisé par 1000 pour obtenir des tonnes</t>
        </r>
      </text>
    </comment>
    <comment ref="F57" authorId="0" shapeId="0">
      <text>
        <r>
          <rPr>
            <b/>
            <sz val="9"/>
            <color indexed="81"/>
            <rFont val="Tahoma"/>
            <family val="2"/>
          </rPr>
          <t>FLORES-GUTIERREZ Josue-Fernando:</t>
        </r>
        <r>
          <rPr>
            <sz val="9"/>
            <color indexed="81"/>
            <rFont val="Tahoma"/>
            <family val="2"/>
          </rPr>
          <t xml:space="preserve">
Source: Base Carbone ADEME
TGV, Train Grande Vitesse 
3,69e-3 kgCO2e/km
Divisé par 1000 pour obtenir de tonnes</t>
        </r>
      </text>
    </comment>
    <comment ref="P57" authorId="1" shapeId="0">
      <text>
        <r>
          <rPr>
            <b/>
            <sz val="9"/>
            <color indexed="81"/>
            <rFont val="Tahoma"/>
            <family val="2"/>
          </rPr>
          <t>LETANG Kristell:</t>
        </r>
        <r>
          <rPr>
            <sz val="9"/>
            <color indexed="81"/>
            <rFont val="Tahoma"/>
            <family val="2"/>
          </rPr>
          <t xml:space="preserve">
TGV
KgCO2e/passager.km
Divisé par 1000 pour obtenir des tonnes</t>
        </r>
      </text>
    </comment>
    <comment ref="Q57" authorId="0" shapeId="0">
      <text>
        <r>
          <rPr>
            <b/>
            <sz val="9"/>
            <color indexed="81"/>
            <rFont val="Tahoma"/>
            <family val="2"/>
          </rPr>
          <t>FLORES-GUTIERREZ Josue-Fernando:</t>
        </r>
        <r>
          <rPr>
            <sz val="9"/>
            <color indexed="81"/>
            <rFont val="Tahoma"/>
            <family val="2"/>
          </rPr>
          <t xml:space="preserve">
Source: Base Carbone ADEME
TGV, Train Grande Vitesse 
3,69e-3 kgCO2e/km
Divisé par 1000 pour obtenir de tonnes</t>
        </r>
      </text>
    </comment>
    <comment ref="AB57" authorId="0" shapeId="0">
      <text>
        <r>
          <rPr>
            <b/>
            <sz val="9"/>
            <color indexed="81"/>
            <rFont val="Tahoma"/>
            <family val="2"/>
          </rPr>
          <t>FLORES-GUTIERREZ Josue-Fernando:</t>
        </r>
        <r>
          <rPr>
            <sz val="9"/>
            <color indexed="81"/>
            <rFont val="Tahoma"/>
            <family val="2"/>
          </rPr>
          <t xml:space="preserve">
Source: Base Carbone ADEME
TGV, Train Grande Vitesse 
3,69e-3 kgCO2e/km
Divisé par 1000 pour obtenir de tonnes</t>
        </r>
      </text>
    </comment>
    <comment ref="E58" authorId="2" shapeId="0">
      <text>
        <r>
          <rPr>
            <b/>
            <sz val="10"/>
            <color indexed="81"/>
            <rFont val="Tahoma"/>
            <family val="2"/>
          </rPr>
          <t>NG:</t>
        </r>
        <r>
          <rPr>
            <sz val="10"/>
            <color indexed="81"/>
            <rFont val="Tahoma"/>
            <family val="2"/>
          </rPr>
          <t xml:space="preserve">
source : Base carbone : déplacements, avion plus de 250 sièges, 3000-4000 km - facteur d'émission (facteur d'émission moyen)  </t>
        </r>
      </text>
    </comment>
    <comment ref="F58" authorId="0" shapeId="0">
      <text>
        <r>
          <rPr>
            <b/>
            <sz val="9"/>
            <color indexed="81"/>
            <rFont val="Tahoma"/>
            <family val="2"/>
          </rPr>
          <t>FLORES-GUTIERREZ Josue-Fernando:</t>
        </r>
        <r>
          <rPr>
            <sz val="9"/>
            <color indexed="81"/>
            <rFont val="Tahoma"/>
            <family val="2"/>
          </rPr>
          <t xml:space="preserve">
Avion (voyageurs) - plus de 250 sièges, trajet de 3000-4000 km 
0.251 kgCO2e/passager.km
Source: Base Carbone ADEME
 *Divisé par 1000 pour obtenir tCO2e/passager.km</t>
        </r>
      </text>
    </comment>
    <comment ref="P58" authorId="1" shapeId="0">
      <text>
        <r>
          <rPr>
            <b/>
            <sz val="9"/>
            <color indexed="81"/>
            <rFont val="Tahoma"/>
            <family val="2"/>
          </rPr>
          <t>LETANG Kristell:</t>
        </r>
        <r>
          <rPr>
            <sz val="9"/>
            <color indexed="81"/>
            <rFont val="Tahoma"/>
            <family val="2"/>
          </rPr>
          <t xml:space="preserve">
Avion plus de 250 sièges trajet de 3000 à 4000 km
KgCO2e/passager.Km
Divisé par 1000 pour obtenir des tonnes</t>
        </r>
      </text>
    </comment>
    <comment ref="Q58" authorId="0" shapeId="0">
      <text>
        <r>
          <rPr>
            <b/>
            <sz val="9"/>
            <color indexed="81"/>
            <rFont val="Tahoma"/>
            <family val="2"/>
          </rPr>
          <t>FLORES-GUTIERREZ Josue-Fernando:</t>
        </r>
        <r>
          <rPr>
            <sz val="9"/>
            <color indexed="81"/>
            <rFont val="Tahoma"/>
            <family val="2"/>
          </rPr>
          <t xml:space="preserve">
Avion (voyageurs) - plus de 250 sièges, trajet de 3000-4000 km 
0.251 kgCO2e/passager.km
Source: Base Carbone ADEME
 *Divisé par 1000 pour obtenir tCO2e/passager.km</t>
        </r>
      </text>
    </comment>
    <comment ref="F59" authorId="0" shapeId="0">
      <text>
        <r>
          <rPr>
            <b/>
            <sz val="9"/>
            <color indexed="81"/>
            <rFont val="Tahoma"/>
            <family val="2"/>
          </rPr>
          <t>FLORES-GUTIERREZ Josue-Fernando:</t>
        </r>
        <r>
          <rPr>
            <sz val="9"/>
            <color indexed="81"/>
            <rFont val="Tahoma"/>
            <family val="2"/>
          </rPr>
          <t xml:space="preserve">
Avion (voyageurs) - 180-250 sièges, trajet de 0-1000 km 
0.293 kgCO2e/passager.km
Source: Base Carbone ADEME
 *Divisé par 1000 pour obtenir tCO2e/passager.km</t>
        </r>
      </text>
    </comment>
    <comment ref="Q59" authorId="0" shapeId="0">
      <text>
        <r>
          <rPr>
            <b/>
            <sz val="9"/>
            <color indexed="81"/>
            <rFont val="Tahoma"/>
            <family val="2"/>
          </rPr>
          <t>FLORES-GUTIERREZ Josue-Fernando:</t>
        </r>
        <r>
          <rPr>
            <sz val="9"/>
            <color indexed="81"/>
            <rFont val="Tahoma"/>
            <family val="2"/>
          </rPr>
          <t xml:space="preserve">
Avion (voyageurs) - 180-250 sièges, trajet de 0-1000 km 
0.293 kgCO2e/passager.km
Source: Base Carbone ADEME
 *Divisé par 1000 pour obtenir tCO2e/passager.km</t>
        </r>
      </text>
    </comment>
    <comment ref="AB59" authorId="0" shapeId="0">
      <text>
        <r>
          <rPr>
            <b/>
            <sz val="9"/>
            <color indexed="81"/>
            <rFont val="Tahoma"/>
            <family val="2"/>
          </rPr>
          <t>FLORES-GUTIERREZ Josue-Fernando:</t>
        </r>
        <r>
          <rPr>
            <sz val="9"/>
            <color indexed="81"/>
            <rFont val="Tahoma"/>
            <family val="2"/>
          </rPr>
          <t xml:space="preserve">
Avion (voyageurs) - 180-250 sièges, trajet de 0-1000 km 
0.293 kgCO2e/passager.km
Source: Base Carbone ADEME
 *Divisé par 1000 pour obtenir tCO2e/passager.km</t>
        </r>
      </text>
    </comment>
    <comment ref="AJ59" authorId="0" shapeId="0">
      <text>
        <r>
          <rPr>
            <b/>
            <sz val="9"/>
            <color indexed="81"/>
            <rFont val="Tahoma"/>
            <family val="2"/>
          </rPr>
          <t>FLORES-GUTIERREZ Josue-Fernando:</t>
        </r>
        <r>
          <rPr>
            <sz val="9"/>
            <color indexed="81"/>
            <rFont val="Tahoma"/>
            <family val="2"/>
          </rPr>
          <t xml:space="preserve">
50,0 %
Source: Base Carbone ADEME
Scope 3/ Transport de personnes/ Aerien/ Capacité de  180- 250 sièges/ 
Avion (voyageurs) - 180-250 sièges, trajet de 0-1000 km / Afficher détails
</t>
        </r>
      </text>
    </comment>
    <comment ref="F60" authorId="0" shapeId="0">
      <text>
        <r>
          <rPr>
            <b/>
            <sz val="9"/>
            <color indexed="81"/>
            <rFont val="Tahoma"/>
            <family val="2"/>
          </rPr>
          <t>FLORES-GUTIERREZ Josue-Fernando:</t>
        </r>
        <r>
          <rPr>
            <sz val="9"/>
            <color indexed="81"/>
            <rFont val="Tahoma"/>
            <family val="2"/>
          </rPr>
          <t xml:space="preserve">
Avion (voyageurs) - 180-250 sièges, trajet de 1000-2000 km 
0.216 kgCO2e/passager.km
Source: Base Carbone ADEME
 *Divisé par 1000 pour obtenir CO2e/passager.km</t>
        </r>
      </text>
    </comment>
    <comment ref="Q60" authorId="0" shapeId="0">
      <text>
        <r>
          <rPr>
            <b/>
            <sz val="9"/>
            <color indexed="81"/>
            <rFont val="Tahoma"/>
            <family val="2"/>
          </rPr>
          <t>FLORES-GUTIERREZ Josue-Fernando:</t>
        </r>
        <r>
          <rPr>
            <sz val="9"/>
            <color indexed="81"/>
            <rFont val="Tahoma"/>
            <family val="2"/>
          </rPr>
          <t xml:space="preserve">
Avion (voyageurs) - 180-250 sièges, trajet de 1000-2000 km 
0.216 kgCO2e/passager.km
Source: Base Carbone ADEME
 *Divisé par 1000 pour obtenir CO2e/passager.km</t>
        </r>
      </text>
    </comment>
    <comment ref="AB60" authorId="0" shapeId="0">
      <text>
        <r>
          <rPr>
            <b/>
            <sz val="9"/>
            <color indexed="81"/>
            <rFont val="Tahoma"/>
            <family val="2"/>
          </rPr>
          <t>FLORES-GUTIERREZ Josue-Fernando:</t>
        </r>
        <r>
          <rPr>
            <sz val="9"/>
            <color indexed="81"/>
            <rFont val="Tahoma"/>
            <family val="2"/>
          </rPr>
          <t xml:space="preserve">
Avion (voyageurs) - 180-250 sièges, trajet de 1000-2000 km 
0.216 kgCO2e/passager.km
Source: Base Carbone ADEME
 *Divisé par 1000 pour obtenir CO2e/passager.km</t>
        </r>
      </text>
    </comment>
    <comment ref="AJ60" authorId="0" shapeId="0">
      <text>
        <r>
          <rPr>
            <b/>
            <sz val="9"/>
            <color indexed="81"/>
            <rFont val="Tahoma"/>
            <family val="2"/>
          </rPr>
          <t>FLORES-GUTIERREZ Josue-Fernando:</t>
        </r>
        <r>
          <rPr>
            <sz val="9"/>
            <color indexed="81"/>
            <rFont val="Tahoma"/>
            <family val="2"/>
          </rPr>
          <t xml:space="preserve">
50,0 %
Source: Base Carbone ADEME
Scope 3/ Transport de personnes/ Aerien/ Capacité de 180- 250 sièges/ 
Avion (voyageurs) - 180-250 sièges, trajet de 1000-2000 km / Afficher détails</t>
        </r>
      </text>
    </comment>
    <comment ref="F61" authorId="0" shapeId="0">
      <text>
        <r>
          <rPr>
            <b/>
            <sz val="9"/>
            <color indexed="81"/>
            <rFont val="Tahoma"/>
            <family val="2"/>
          </rPr>
          <t>FLORES-GUTIERREZ Josue-Fernando:</t>
        </r>
        <r>
          <rPr>
            <sz val="9"/>
            <color indexed="81"/>
            <rFont val="Tahoma"/>
            <family val="2"/>
          </rPr>
          <t xml:space="preserve">
Avion (voyageurs) - 180-250 sièges, trajet de 2000-3000 km 
0.209 kgCO2e/passager.km
Source: Base Carbone ADEME
 *Divisé par 1000 pour obtenir tCO2e/passager.km</t>
        </r>
      </text>
    </comment>
    <comment ref="Q61" authorId="0" shapeId="0">
      <text>
        <r>
          <rPr>
            <b/>
            <sz val="9"/>
            <color indexed="81"/>
            <rFont val="Tahoma"/>
            <family val="2"/>
          </rPr>
          <t>FLORES-GUTIERREZ Josue-Fernando:</t>
        </r>
        <r>
          <rPr>
            <sz val="9"/>
            <color indexed="81"/>
            <rFont val="Tahoma"/>
            <family val="2"/>
          </rPr>
          <t xml:space="preserve">
Avion (voyageurs) - 180-250 sièges, trajet de 2000-3000 km 
0.209 kgCO2e/passager.km
Source: Base Carbone ADEME
 *Divisé par 1000 pour obtenir tCO2e/passager.km</t>
        </r>
      </text>
    </comment>
    <comment ref="AB61" authorId="0" shapeId="0">
      <text>
        <r>
          <rPr>
            <b/>
            <sz val="9"/>
            <color indexed="81"/>
            <rFont val="Tahoma"/>
            <family val="2"/>
          </rPr>
          <t>FLORES-GUTIERREZ Josue-Fernando:</t>
        </r>
        <r>
          <rPr>
            <sz val="9"/>
            <color indexed="81"/>
            <rFont val="Tahoma"/>
            <family val="2"/>
          </rPr>
          <t xml:space="preserve">
Avion (voyageurs) - 180-250 sièges, trajet de 2000-3000 km 
0.209 kgCO2e/passager.km
Source: Base Carbone ADEME
 *Divisé par 1000 pour obtenir tCO2e/passager.km</t>
        </r>
      </text>
    </comment>
    <comment ref="AJ61" authorId="0" shapeId="0">
      <text>
        <r>
          <rPr>
            <b/>
            <sz val="9"/>
            <color indexed="81"/>
            <rFont val="Tahoma"/>
            <family val="2"/>
          </rPr>
          <t>FLORES-GUTIERREZ Josue-Fernando:</t>
        </r>
        <r>
          <rPr>
            <sz val="9"/>
            <color indexed="81"/>
            <rFont val="Tahoma"/>
            <family val="2"/>
          </rPr>
          <t xml:space="preserve">
50,0 %
Source: Base Carbone ADEME
Scope 3/ Transport de personnes/ Aerien/ Capacité de  180- 250 sièges/ 
Avion (voyageurs) - 180-250 sièges, trajet de 2000-3000 km / Afficher détails</t>
        </r>
      </text>
    </comment>
    <comment ref="F62" authorId="0" shapeId="0">
      <text>
        <r>
          <rPr>
            <b/>
            <sz val="9"/>
            <color indexed="81"/>
            <rFont val="Tahoma"/>
            <family val="2"/>
          </rPr>
          <t>FLORES-GUTIERREZ Josue-Fernando:</t>
        </r>
        <r>
          <rPr>
            <sz val="9"/>
            <color indexed="81"/>
            <rFont val="Tahoma"/>
            <family val="2"/>
          </rPr>
          <t xml:space="preserve">
Avion (voyageurs) - plus de 250 sièges, trajet de 3000-4000 km 
0.251 kgCO2e/passager.km
Source: Base Carbone ADEME
 *Divisé par 1000 pour obtenir tCO2e/passager.km</t>
        </r>
      </text>
    </comment>
    <comment ref="Q62" authorId="0" shapeId="0">
      <text>
        <r>
          <rPr>
            <b/>
            <sz val="9"/>
            <color indexed="81"/>
            <rFont val="Tahoma"/>
            <family val="2"/>
          </rPr>
          <t>FLORES-GUTIERREZ Josue-Fernando:</t>
        </r>
        <r>
          <rPr>
            <sz val="9"/>
            <color indexed="81"/>
            <rFont val="Tahoma"/>
            <family val="2"/>
          </rPr>
          <t xml:space="preserve">
Avion (voyageurs) - plus de 250 sièges, trajet de 3000-4000 km 
0.251 kgCO2e/passager.km
Source: Base Carbone ADEME
 *Divisé par 1000 pour obtenir tCO2e/passager.km</t>
        </r>
      </text>
    </comment>
    <comment ref="AB62" authorId="0" shapeId="0">
      <text>
        <r>
          <rPr>
            <b/>
            <sz val="9"/>
            <color indexed="81"/>
            <rFont val="Tahoma"/>
            <family val="2"/>
          </rPr>
          <t>FLORES-GUTIERREZ Josue-Fernando:</t>
        </r>
        <r>
          <rPr>
            <sz val="9"/>
            <color indexed="81"/>
            <rFont val="Tahoma"/>
            <family val="2"/>
          </rPr>
          <t xml:space="preserve">
Avion (voyageurs) - plus de 250 sièges, trajet de 3000-4000 km 
0.251 kgCO2e/passager.km
Source: Base Carbone ADEME
 *Divisé par 1000 pour obtenir tCO2e/passager.km</t>
        </r>
      </text>
    </comment>
    <comment ref="AJ62" authorId="0" shapeId="0">
      <text>
        <r>
          <rPr>
            <b/>
            <sz val="9"/>
            <color indexed="81"/>
            <rFont val="Tahoma"/>
            <family val="2"/>
          </rPr>
          <t>FLORES-GUTIERREZ Josue-Fernando:</t>
        </r>
        <r>
          <rPr>
            <sz val="9"/>
            <color indexed="81"/>
            <rFont val="Tahoma"/>
            <family val="2"/>
          </rPr>
          <t xml:space="preserve">
50,0 %
Source: Base Carbone ADEME
Scope 3/ Transport de personnes/ Aerien/ Capacité de plus de 250 sièges/ 
Avion (voyageurs) - plus de 250 sièges, trajet de 3000 - 4000 km / Afficher détails</t>
        </r>
      </text>
    </comment>
    <comment ref="F63" authorId="0" shapeId="0">
      <text>
        <r>
          <rPr>
            <b/>
            <sz val="9"/>
            <color indexed="81"/>
            <rFont val="Tahoma"/>
            <family val="2"/>
          </rPr>
          <t>FLORES-GUTIERREZ Josue-Fernando:</t>
        </r>
        <r>
          <rPr>
            <sz val="9"/>
            <color indexed="81"/>
            <rFont val="Tahoma"/>
            <family val="2"/>
          </rPr>
          <t xml:space="preserve">
Avion (voyageurs) - plus de 250 sièges, trajet de 4000-5000 km 
0.258 kgCO2e/passager.km
Source: Base Carbone ADEME
 *Divisé par 1000 pour obtenir tCO2e/passager.km</t>
        </r>
      </text>
    </comment>
    <comment ref="Q63" authorId="0" shapeId="0">
      <text>
        <r>
          <rPr>
            <b/>
            <sz val="9"/>
            <color indexed="81"/>
            <rFont val="Tahoma"/>
            <family val="2"/>
          </rPr>
          <t>FLORES-GUTIERREZ Josue-Fernando:</t>
        </r>
        <r>
          <rPr>
            <sz val="9"/>
            <color indexed="81"/>
            <rFont val="Tahoma"/>
            <family val="2"/>
          </rPr>
          <t xml:space="preserve">
Avion (voyageurs) - plus de 250 sièges, trajet de 4000-5000 km 
0.258 kgCO2e/passager.km
Source: Base Carbone ADEME
 *Divisé par 1000 pour obtenir tCO2e/passager.km</t>
        </r>
      </text>
    </comment>
    <comment ref="AB63" authorId="0" shapeId="0">
      <text>
        <r>
          <rPr>
            <b/>
            <sz val="9"/>
            <color indexed="81"/>
            <rFont val="Tahoma"/>
            <family val="2"/>
          </rPr>
          <t>FLORES-GUTIERREZ Josue-Fernando:</t>
        </r>
        <r>
          <rPr>
            <sz val="9"/>
            <color indexed="81"/>
            <rFont val="Tahoma"/>
            <family val="2"/>
          </rPr>
          <t xml:space="preserve">
Avion (voyageurs) - plus de 250 sièges, trajet de 4000-5000 km 
0.258 kgCO2e/passager.km
Source: Base Carbone ADEME
 *Divisé par 1000 pour obtenir tCO2e/passager.km</t>
        </r>
      </text>
    </comment>
    <comment ref="AJ63" authorId="0" shapeId="0">
      <text>
        <r>
          <rPr>
            <b/>
            <sz val="9"/>
            <color indexed="81"/>
            <rFont val="Tahoma"/>
            <family val="2"/>
          </rPr>
          <t>FLORES-GUTIERREZ Josue-Fernando:</t>
        </r>
        <r>
          <rPr>
            <sz val="9"/>
            <color indexed="81"/>
            <rFont val="Tahoma"/>
            <family val="2"/>
          </rPr>
          <t xml:space="preserve">
50,0 %
Source: Base Carbone ADEME
Scope 3/ Transport de personnes/ Aerien/ Capacité de plus de 250 sièges/ 
Avion (voyageurs) - plus de 250 sièges, trajet de 4000 - 5000 km / Afficher détails</t>
        </r>
      </text>
    </comment>
    <comment ref="F64" authorId="0" shapeId="0">
      <text>
        <r>
          <rPr>
            <b/>
            <sz val="9"/>
            <color indexed="81"/>
            <rFont val="Tahoma"/>
            <family val="2"/>
          </rPr>
          <t>FLORES-GUTIERREZ Josue-Fernando:</t>
        </r>
        <r>
          <rPr>
            <sz val="9"/>
            <color indexed="81"/>
            <rFont val="Tahoma"/>
            <family val="2"/>
          </rPr>
          <t xml:space="preserve">
Avion (voyageurs) -  plus de 250 sièges, trajet 5000 - 6000 km 
0.223 kgCO2e/passager.km
Source: Base Carbone ADEME
 *Divisé par 1000 pour obtenir tonnes de CO2e</t>
        </r>
      </text>
    </comment>
    <comment ref="Q64" authorId="0" shapeId="0">
      <text>
        <r>
          <rPr>
            <b/>
            <sz val="9"/>
            <color indexed="81"/>
            <rFont val="Tahoma"/>
            <family val="2"/>
          </rPr>
          <t>FLORES-GUTIERREZ Josue-Fernando:</t>
        </r>
        <r>
          <rPr>
            <sz val="9"/>
            <color indexed="81"/>
            <rFont val="Tahoma"/>
            <family val="2"/>
          </rPr>
          <t xml:space="preserve">
Avion (voyageurs) -  plus de 250 sièges, trajet 5000 - 6000 km 
0.223 kgCO2e/passager.km
Source: Base Carbone ADEME
 *Divisé par 1000 pour obtenir tonnes de CO2e</t>
        </r>
      </text>
    </comment>
    <comment ref="AB64" authorId="0" shapeId="0">
      <text>
        <r>
          <rPr>
            <b/>
            <sz val="9"/>
            <color indexed="81"/>
            <rFont val="Tahoma"/>
            <family val="2"/>
          </rPr>
          <t>FLORES-GUTIERREZ Josue-Fernando:</t>
        </r>
        <r>
          <rPr>
            <sz val="9"/>
            <color indexed="81"/>
            <rFont val="Tahoma"/>
            <family val="2"/>
          </rPr>
          <t xml:space="preserve">
Avion (voyageurs) -  plus de 250 sièges, trajet 5000 - 6000 km 
0.223 kgCO2e/passager.km
Source: Base Carbone ADEME
 *Divisé par 1000 pour obtenir tonnes de CO2e</t>
        </r>
      </text>
    </comment>
    <comment ref="AJ64" authorId="0" shapeId="0">
      <text>
        <r>
          <rPr>
            <b/>
            <sz val="9"/>
            <color indexed="81"/>
            <rFont val="Tahoma"/>
            <family val="2"/>
          </rPr>
          <t>FLORES-GUTIERREZ Josue-Fernando:</t>
        </r>
        <r>
          <rPr>
            <sz val="9"/>
            <color indexed="81"/>
            <rFont val="Tahoma"/>
            <family val="2"/>
          </rPr>
          <t xml:space="preserve">
50,0 %
Source: Base Carbone ADEME
Scope 3/ Transport de personnes/ Aerien/ Capacité de plus de 250 sièges/ 
Avion (voyageurs) - plus de 250 sièges, trajet de 5000 - 6000 km / Afficher détails</t>
        </r>
      </text>
    </comment>
    <comment ref="F65" authorId="0" shapeId="0">
      <text>
        <r>
          <rPr>
            <b/>
            <sz val="9"/>
            <color indexed="81"/>
            <rFont val="Tahoma"/>
            <family val="2"/>
          </rPr>
          <t>FLORES-GUTIERREZ Josue-Fernando:</t>
        </r>
        <r>
          <rPr>
            <sz val="9"/>
            <color indexed="81"/>
            <rFont val="Tahoma"/>
            <family val="2"/>
          </rPr>
          <t xml:space="preserve">
Avion (voyageurs) -  plus de 250 sièges, trajet de 6000-7000 km 
0.209 kgCO2e/passager.km
Source: Base Carbone ADEME
 *Divisé par 1000 pour obtenir tCO2e/passager.km</t>
        </r>
      </text>
    </comment>
    <comment ref="Q65" authorId="0" shapeId="0">
      <text>
        <r>
          <rPr>
            <b/>
            <sz val="9"/>
            <color indexed="81"/>
            <rFont val="Tahoma"/>
            <family val="2"/>
          </rPr>
          <t>FLORES-GUTIERREZ Josue-Fernando:</t>
        </r>
        <r>
          <rPr>
            <sz val="9"/>
            <color indexed="81"/>
            <rFont val="Tahoma"/>
            <family val="2"/>
          </rPr>
          <t xml:space="preserve">
Avion (voyageurs) -  plus de 250 sièges, trajet de 6000-7000 km 
0.209 kgCO2e/passager.km
Source: Base Carbone ADEME
 *Divisé par 1000 pour obtenir tCO2e/passager.km</t>
        </r>
      </text>
    </comment>
    <comment ref="AB65" authorId="0" shapeId="0">
      <text>
        <r>
          <rPr>
            <b/>
            <sz val="9"/>
            <color indexed="81"/>
            <rFont val="Tahoma"/>
            <family val="2"/>
          </rPr>
          <t>FLORES-GUTIERREZ Josue-Fernando:</t>
        </r>
        <r>
          <rPr>
            <sz val="9"/>
            <color indexed="81"/>
            <rFont val="Tahoma"/>
            <family val="2"/>
          </rPr>
          <t xml:space="preserve">
Avion (voyageurs) -  plus de 250 sièges, trajet de 6000-7000 km 
0.209 kgCO2e/passager.km
Source: Base Carbone ADEME
 *Divisé par 1000 pour obtenir tCO2e/passager.km</t>
        </r>
      </text>
    </comment>
    <comment ref="AJ65" authorId="0" shapeId="0">
      <text>
        <r>
          <rPr>
            <b/>
            <sz val="9"/>
            <color indexed="81"/>
            <rFont val="Tahoma"/>
            <family val="2"/>
          </rPr>
          <t>FLORES-GUTIERREZ Josue-Fernando:</t>
        </r>
        <r>
          <rPr>
            <sz val="9"/>
            <color indexed="81"/>
            <rFont val="Tahoma"/>
            <family val="2"/>
          </rPr>
          <t xml:space="preserve">
50,0 %
Source: Base Carbone ADEME
Scope 3/ Transport de personnes/ Aerien/ Capacité de plus de 250 sièges/ 
Avion (voyageurs) - plus de 250 sièges, trajet de 6000 - 7000 km / Afficher détails</t>
        </r>
      </text>
    </comment>
    <comment ref="F66" authorId="0" shapeId="0">
      <text>
        <r>
          <rPr>
            <b/>
            <sz val="9"/>
            <color indexed="81"/>
            <rFont val="Tahoma"/>
            <family val="2"/>
          </rPr>
          <t>FLORES-GUTIERREZ Josue-Fernando:</t>
        </r>
        <r>
          <rPr>
            <sz val="9"/>
            <color indexed="81"/>
            <rFont val="Tahoma"/>
            <family val="2"/>
          </rPr>
          <t xml:space="preserve">
Avion (voyageurs) -  plus de 250 sièges, trajet de 7000-8000 km 
0.209 kgCO2e/passager.km
Source: Base Carbone ADEME
 *Divisé par 1000 pour obtenir tCO2e/passager.km</t>
        </r>
      </text>
    </comment>
    <comment ref="Q66" authorId="0" shapeId="0">
      <text>
        <r>
          <rPr>
            <b/>
            <sz val="9"/>
            <color indexed="81"/>
            <rFont val="Tahoma"/>
            <family val="2"/>
          </rPr>
          <t>FLORES-GUTIERREZ Josue-Fernando:</t>
        </r>
        <r>
          <rPr>
            <sz val="9"/>
            <color indexed="81"/>
            <rFont val="Tahoma"/>
            <family val="2"/>
          </rPr>
          <t xml:space="preserve">
Avion (voyageurs) -  plus de 250 sièges, trajet de 7000-8000 km 
0.209 kgCO2e/passager.km
Source: Base Carbone ADEME
 *Divisé par 1000 pour obtenir tCO2e/passager.km</t>
        </r>
      </text>
    </comment>
    <comment ref="AB66" authorId="0" shapeId="0">
      <text>
        <r>
          <rPr>
            <b/>
            <sz val="9"/>
            <color indexed="81"/>
            <rFont val="Tahoma"/>
            <family val="2"/>
          </rPr>
          <t>FLORES-GUTIERREZ Josue-Fernando:</t>
        </r>
        <r>
          <rPr>
            <sz val="9"/>
            <color indexed="81"/>
            <rFont val="Tahoma"/>
            <family val="2"/>
          </rPr>
          <t xml:space="preserve">
Avion (voyageurs) -  plus de 250 sièges, trajet de 7000-8000 km 
0.209 kgCO2e/passager.km
Source: Base Carbone ADEME
 *Divisé par 1000 pour obtenir tCO2e/passager.km</t>
        </r>
      </text>
    </comment>
    <comment ref="AJ66" authorId="0" shapeId="0">
      <text>
        <r>
          <rPr>
            <b/>
            <sz val="9"/>
            <color indexed="81"/>
            <rFont val="Tahoma"/>
            <family val="2"/>
          </rPr>
          <t>FLORES-GUTIERREZ Josue-Fernando:</t>
        </r>
        <r>
          <rPr>
            <sz val="9"/>
            <color indexed="81"/>
            <rFont val="Tahoma"/>
            <family val="2"/>
          </rPr>
          <t xml:space="preserve">
50,0 %
Source: Base Carbone ADEME
Scope 3/ Transport de personnes/ Aerien/ Capacité de plus de 250 sièges/ 
Avion (voyageurs) - plus de 250 sièges, trajet de 7000 - 8000 km / Afficher détails</t>
        </r>
      </text>
    </comment>
    <comment ref="F67" authorId="0" shapeId="0">
      <text>
        <r>
          <rPr>
            <b/>
            <sz val="9"/>
            <color indexed="81"/>
            <rFont val="Tahoma"/>
            <family val="2"/>
          </rPr>
          <t>FLORES-GUTIERREZ Josue-Fernando:</t>
        </r>
        <r>
          <rPr>
            <sz val="9"/>
            <color indexed="81"/>
            <rFont val="Tahoma"/>
            <family val="2"/>
          </rPr>
          <t xml:space="preserve">
Avion (voyageurs) - plus de 250 sièges, trajet de 8000-9000 km 
0.23 kgCO2e/passager.km
Source: Base Carbone ADEME
 *Divisé par 1000 pour obtenir tCO2e/passager.km</t>
        </r>
      </text>
    </comment>
    <comment ref="Q67" authorId="0" shapeId="0">
      <text>
        <r>
          <rPr>
            <b/>
            <sz val="9"/>
            <color indexed="81"/>
            <rFont val="Tahoma"/>
            <family val="2"/>
          </rPr>
          <t>FLORES-GUTIERREZ Josue-Fernando:</t>
        </r>
        <r>
          <rPr>
            <sz val="9"/>
            <color indexed="81"/>
            <rFont val="Tahoma"/>
            <family val="2"/>
          </rPr>
          <t xml:space="preserve">
Avion (voyageurs) - plus de 250 sièges, trajet de 8000-9000 km 
0.23 kgCO2e/passager.km
Source: Base Carbone ADEME
 *Divisé par 1000 pour obtenir tCO2e/passager.km</t>
        </r>
      </text>
    </comment>
    <comment ref="AB67" authorId="0" shapeId="0">
      <text>
        <r>
          <rPr>
            <b/>
            <sz val="9"/>
            <color indexed="81"/>
            <rFont val="Tahoma"/>
            <family val="2"/>
          </rPr>
          <t>FLORES-GUTIERREZ Josue-Fernando:</t>
        </r>
        <r>
          <rPr>
            <sz val="9"/>
            <color indexed="81"/>
            <rFont val="Tahoma"/>
            <family val="2"/>
          </rPr>
          <t xml:space="preserve">
Avion (voyageurs) - plus de 250 sièges, trajet de 8000-9000 km 
0.23 kgCO2e/passager.km
Source: Base Carbone ADEME
 *Divisé par 1000 pour obtenir tCO2e/passager.km</t>
        </r>
      </text>
    </comment>
    <comment ref="AJ67" authorId="0" shapeId="0">
      <text>
        <r>
          <rPr>
            <b/>
            <sz val="9"/>
            <color indexed="81"/>
            <rFont val="Tahoma"/>
            <family val="2"/>
          </rPr>
          <t>FLORES-GUTIERREZ Josue-Fernando:</t>
        </r>
        <r>
          <rPr>
            <sz val="9"/>
            <color indexed="81"/>
            <rFont val="Tahoma"/>
            <family val="2"/>
          </rPr>
          <t xml:space="preserve">
50,0 %
Source: Base Carbone ADEME
Scope 3/ Transport de personnes/ Aerien/ Capacité de plus de 250 sièges/ Avion (voyageurs) - plus de 250 sièges, trajet de 8000 - 9000 km / Afficher détails</t>
        </r>
      </text>
    </comment>
    <comment ref="F68" authorId="0" shapeId="0">
      <text>
        <r>
          <rPr>
            <b/>
            <sz val="9"/>
            <color indexed="81"/>
            <rFont val="Tahoma"/>
            <family val="2"/>
          </rPr>
          <t>FLORES-GUTIERREZ Josue-Fernando:</t>
        </r>
        <r>
          <rPr>
            <sz val="9"/>
            <color indexed="81"/>
            <rFont val="Tahoma"/>
            <family val="2"/>
          </rPr>
          <t xml:space="preserve">
Avion (voyageurs) - plus de 250 sièges, trajet de 9000-10000 km 
0.223 kgCO2e/passager.km
Source: Base Carbone ADEME
 *Divisé par 1000 pour obtenir tCO2e/passager.km</t>
        </r>
      </text>
    </comment>
    <comment ref="Q68" authorId="0" shapeId="0">
      <text>
        <r>
          <rPr>
            <b/>
            <sz val="9"/>
            <color indexed="81"/>
            <rFont val="Tahoma"/>
            <family val="2"/>
          </rPr>
          <t>FLORES-GUTIERREZ Josue-Fernando:</t>
        </r>
        <r>
          <rPr>
            <sz val="9"/>
            <color indexed="81"/>
            <rFont val="Tahoma"/>
            <family val="2"/>
          </rPr>
          <t xml:space="preserve">
Avion (voyageurs) - plus de 250 sièges, trajet de 9000-10000 km 
0.223 kgCO2e/passager.km
Source: Base Carbone ADEME
 *Divisé par 1000 pour obtenir tCO2e/passager.km</t>
        </r>
      </text>
    </comment>
    <comment ref="AB68" authorId="0" shapeId="0">
      <text>
        <r>
          <rPr>
            <b/>
            <sz val="9"/>
            <color indexed="81"/>
            <rFont val="Tahoma"/>
            <family val="2"/>
          </rPr>
          <t>FLORES-GUTIERREZ Josue-Fernando:</t>
        </r>
        <r>
          <rPr>
            <sz val="9"/>
            <color indexed="81"/>
            <rFont val="Tahoma"/>
            <family val="2"/>
          </rPr>
          <t xml:space="preserve">
Avion (voyageurs) - plus de 250 sièges, trajet de 9000-10000 km 
0.223 kgCO2e/passager.km
Source: Base Carbone ADEME
 *Divisé par 1000 pour obtenir tCO2e/passager.km</t>
        </r>
      </text>
    </comment>
    <comment ref="AJ68" authorId="0" shapeId="0">
      <text>
        <r>
          <rPr>
            <b/>
            <sz val="9"/>
            <color indexed="81"/>
            <rFont val="Tahoma"/>
            <family val="2"/>
          </rPr>
          <t>FLORES-GUTIERREZ Josue-Fernando:</t>
        </r>
        <r>
          <rPr>
            <sz val="9"/>
            <color indexed="81"/>
            <rFont val="Tahoma"/>
            <family val="2"/>
          </rPr>
          <t xml:space="preserve">
50,0 %
Source: Base Carbone ADEME
Scope 3/ Transport de personnes/ Aerien/ Capacité de plus de 250 sièges/ 
Avion (voyageurs) - plus de 250 sièges, trajet de 9000 - 10000 km / Afficher détails</t>
        </r>
      </text>
    </comment>
    <comment ref="F69" authorId="0" shapeId="0">
      <text>
        <r>
          <rPr>
            <b/>
            <sz val="9"/>
            <color indexed="81"/>
            <rFont val="Tahoma"/>
            <family val="2"/>
          </rPr>
          <t>FLORES-GUTIERREZ Josue-Fernando:</t>
        </r>
        <r>
          <rPr>
            <sz val="9"/>
            <color indexed="81"/>
            <rFont val="Tahoma"/>
            <family val="2"/>
          </rPr>
          <t xml:space="preserve">
Avion (voyageurs) -  plus de 250 sièges, trajet 10000 - 11000 km 
0.216 kgCO2e/passager.km
Source: Base Carbone ADEME
 *Divisé par 1000 pour obtenir tonnes de CO2e</t>
        </r>
      </text>
    </comment>
    <comment ref="Q69" authorId="0" shapeId="0">
      <text>
        <r>
          <rPr>
            <b/>
            <sz val="9"/>
            <color indexed="81"/>
            <rFont val="Tahoma"/>
            <family val="2"/>
          </rPr>
          <t>FLORES-GUTIERREZ Josue-Fernando:</t>
        </r>
        <r>
          <rPr>
            <sz val="9"/>
            <color indexed="81"/>
            <rFont val="Tahoma"/>
            <family val="2"/>
          </rPr>
          <t xml:space="preserve">
Avion (voyageurs) -  plus de 250 sièges, trajet 10000 - 11000 km 
0.216 kgCO2e/passager.km
Source: Base Carbone ADEME
 *Divisé par 1000 pour obtenir tonnes de CO2e</t>
        </r>
      </text>
    </comment>
    <comment ref="AB69" authorId="0" shapeId="0">
      <text>
        <r>
          <rPr>
            <b/>
            <sz val="9"/>
            <color indexed="81"/>
            <rFont val="Tahoma"/>
            <family val="2"/>
          </rPr>
          <t>FLORES-GUTIERREZ Josue-Fernando:</t>
        </r>
        <r>
          <rPr>
            <sz val="9"/>
            <color indexed="81"/>
            <rFont val="Tahoma"/>
            <family val="2"/>
          </rPr>
          <t xml:space="preserve">
Avion (voyageurs) -  plus de 250 sièges, trajet 10000 - 11000 km 
0.216 kgCO2e/passager.km
Source: Base Carbone ADEME
 *Divisé par 1000 pour obtenir tonnes de CO2e</t>
        </r>
      </text>
    </comment>
    <comment ref="AJ69" authorId="0" shapeId="0">
      <text>
        <r>
          <rPr>
            <b/>
            <sz val="9"/>
            <color indexed="81"/>
            <rFont val="Tahoma"/>
            <family val="2"/>
          </rPr>
          <t>FLORES-GUTIERREZ Josue-Fernando:</t>
        </r>
        <r>
          <rPr>
            <sz val="9"/>
            <color indexed="81"/>
            <rFont val="Tahoma"/>
            <family val="2"/>
          </rPr>
          <t xml:space="preserve">
50,0 %
Source: Base Carbone ADEME
Scope 3/ Transport de personnes/ Aerien/ Capacité de plus de 250 sièges/ 
Avion (voyageurs) - plus de 250 sièges, trajet de 10000 - 11000 km / Afficher détails</t>
        </r>
      </text>
    </comment>
    <comment ref="F70" authorId="0" shapeId="0">
      <text>
        <r>
          <rPr>
            <b/>
            <sz val="9"/>
            <color indexed="81"/>
            <rFont val="Tahoma"/>
            <family val="2"/>
          </rPr>
          <t>FLORES-GUTIERREZ Josue-Fernando:</t>
        </r>
        <r>
          <rPr>
            <sz val="9"/>
            <color indexed="81"/>
            <rFont val="Tahoma"/>
            <family val="2"/>
          </rPr>
          <t xml:space="preserve">
Avion (voyageurs) -  plus de 250 sièges, trajet &gt; 11000 km 
0.223 kgCO2e/passager.km
Source: Base Carbone ADEME
 *Divisé par 1000 pour obtenir tonnes de CO2e</t>
        </r>
      </text>
    </comment>
    <comment ref="Q70" authorId="0" shapeId="0">
      <text>
        <r>
          <rPr>
            <b/>
            <sz val="9"/>
            <color indexed="81"/>
            <rFont val="Tahoma"/>
            <family val="2"/>
          </rPr>
          <t>FLORES-GUTIERREZ Josue-Fernando:</t>
        </r>
        <r>
          <rPr>
            <sz val="9"/>
            <color indexed="81"/>
            <rFont val="Tahoma"/>
            <family val="2"/>
          </rPr>
          <t xml:space="preserve">
Avion (voyageurs) -  plus de 250 sièges, trajet &gt; 11000 km 
0.223 kgCO2e/passager.km
Source: Base Carbone ADEME
 *Divisé par 1000 pour obtenir tonnes de CO2e</t>
        </r>
      </text>
    </comment>
    <comment ref="AB70" authorId="0" shapeId="0">
      <text>
        <r>
          <rPr>
            <b/>
            <sz val="9"/>
            <color indexed="81"/>
            <rFont val="Tahoma"/>
            <family val="2"/>
          </rPr>
          <t>FLORES-GUTIERREZ Josue-Fernando:</t>
        </r>
        <r>
          <rPr>
            <sz val="9"/>
            <color indexed="81"/>
            <rFont val="Tahoma"/>
            <family val="2"/>
          </rPr>
          <t xml:space="preserve">
Avion (voyageurs) -  plus de 250 sièges, trajet &gt; 11000 km 
0.223 kgCO2e/passager.km
Source: Base Carbone ADEME
 *Divisé par 1000 pour obtenir tonnes de CO2e</t>
        </r>
      </text>
    </comment>
    <comment ref="AJ70" authorId="0" shapeId="0">
      <text>
        <r>
          <rPr>
            <b/>
            <sz val="9"/>
            <color indexed="81"/>
            <rFont val="Tahoma"/>
            <family val="2"/>
          </rPr>
          <t>FLORES-GUTIERREZ Josue-Fernando:</t>
        </r>
        <r>
          <rPr>
            <sz val="9"/>
            <color indexed="81"/>
            <rFont val="Tahoma"/>
            <family val="2"/>
          </rPr>
          <t xml:space="preserve">
50,0 %
Source: Base Carbone ADEME
Scope 3/ Transport de personnes/ Aerien/ Capacité de plus de 250 sièges/ Avion (voyageurs) - plus de 250 sièges, trajet  &gt; 11000 km / Afficher détails</t>
        </r>
      </text>
    </comment>
    <comment ref="E71" authorId="2" shapeId="0">
      <text>
        <r>
          <rPr>
            <b/>
            <sz val="10"/>
            <color indexed="81"/>
            <rFont val="Tahoma"/>
            <family val="2"/>
          </rPr>
          <t xml:space="preserve">NG:
</t>
        </r>
        <r>
          <rPr>
            <sz val="10"/>
            <color indexed="81"/>
            <rFont val="Tahoma"/>
            <family val="2"/>
          </rPr>
          <t>source : Base carbone :
voiture particulière essence moyenne -</t>
        </r>
      </text>
    </comment>
    <comment ref="F71" authorId="0" shapeId="0">
      <text>
        <r>
          <rPr>
            <b/>
            <sz val="9"/>
            <color indexed="81"/>
            <rFont val="Tahoma"/>
            <family val="2"/>
          </rPr>
          <t>FLORES-GUTIERREZ Josue-Fernando:</t>
        </r>
        <r>
          <rPr>
            <sz val="9"/>
            <color indexed="81"/>
            <rFont val="Tahoma"/>
            <family val="2"/>
          </rPr>
          <t xml:space="preserve">
Source: Base Carbone ADEME
Voiture particulière - puissance fiscale moyenne, motorisation essence 
0.259 kgCO2e/km
Divisé par 1000 pour obtenir de tonnes</t>
        </r>
      </text>
    </comment>
    <comment ref="P71" authorId="1" shapeId="0">
      <text>
        <r>
          <rPr>
            <b/>
            <sz val="9"/>
            <color indexed="81"/>
            <rFont val="Tahoma"/>
            <family val="2"/>
          </rPr>
          <t>LETANG Kristell:</t>
        </r>
        <r>
          <rPr>
            <sz val="9"/>
            <color indexed="81"/>
            <rFont val="Tahoma"/>
            <family val="2"/>
          </rPr>
          <t xml:space="preserve">
Voiture particulière puissance fiscale moyenne motorisation essence KgCO2e/Km
Divisé par 1000 pour obtenir des tonnes</t>
        </r>
      </text>
    </comment>
    <comment ref="Q71" authorId="0" shapeId="0">
      <text>
        <r>
          <rPr>
            <b/>
            <sz val="9"/>
            <color indexed="81"/>
            <rFont val="Tahoma"/>
            <family val="2"/>
          </rPr>
          <t>FLORES-GUTIERREZ Josue-Fernando:</t>
        </r>
        <r>
          <rPr>
            <sz val="9"/>
            <color indexed="81"/>
            <rFont val="Tahoma"/>
            <family val="2"/>
          </rPr>
          <t xml:space="preserve">
Source: Base Carbone ADEME
Voiture particulière - puissance fiscale moyenne, motorisation essence 
0.259 kgCO2e/km
Divisé par 1000 pour obtenir de tonnes</t>
        </r>
      </text>
    </comment>
    <comment ref="AB71" authorId="0" shapeId="0">
      <text>
        <r>
          <rPr>
            <b/>
            <sz val="9"/>
            <color indexed="81"/>
            <rFont val="Tahoma"/>
            <family val="2"/>
          </rPr>
          <t>FLORES-GUTIERREZ Josue-Fernando:</t>
        </r>
        <r>
          <rPr>
            <sz val="9"/>
            <color indexed="81"/>
            <rFont val="Tahoma"/>
            <family val="2"/>
          </rPr>
          <t xml:space="preserve">
Source: Base Carbone ADEME
Voiture particulière - puissance fiscale moyenne, motorisation essence 
0.259 kgCO2e/km
Divisé par 1000 pour obtenir de tonnes</t>
        </r>
      </text>
    </comment>
    <comment ref="F72" authorId="0" shapeId="0">
      <text>
        <r>
          <rPr>
            <b/>
            <sz val="9"/>
            <color indexed="81"/>
            <rFont val="Tahoma"/>
            <family val="2"/>
          </rPr>
          <t>FLORES-GUTIERREZ Josue-Fernando:</t>
        </r>
        <r>
          <rPr>
            <sz val="9"/>
            <color indexed="81"/>
            <rFont val="Tahoma"/>
            <family val="2"/>
          </rPr>
          <t xml:space="preserve">
Avion (voyageurs) - 180-250 sièges, trajet de 0-1000 km 
0.293 kgCO2e/passager.km
Source: Base Carbone ADEME
 *Divisé par 1000 pour obtenir tCO2e/passager.km</t>
        </r>
      </text>
    </comment>
    <comment ref="Q72" authorId="0" shapeId="0">
      <text>
        <r>
          <rPr>
            <b/>
            <sz val="9"/>
            <color indexed="81"/>
            <rFont val="Tahoma"/>
            <family val="2"/>
          </rPr>
          <t>FLORES-GUTIERREZ Josue-Fernando:</t>
        </r>
        <r>
          <rPr>
            <sz val="9"/>
            <color indexed="81"/>
            <rFont val="Tahoma"/>
            <family val="2"/>
          </rPr>
          <t xml:space="preserve">
Avion (voyageurs) - 180-250 sièges, trajet de 0-1000 km 
0.293 kgCO2e/passager.km
Source: Base Carbone ADEME
 *Divisé par 1000 pour obtenir tCO2e/passager.km</t>
        </r>
      </text>
    </comment>
    <comment ref="AB72" authorId="0" shapeId="0">
      <text>
        <r>
          <rPr>
            <b/>
            <sz val="9"/>
            <color indexed="81"/>
            <rFont val="Tahoma"/>
            <family val="2"/>
          </rPr>
          <t>FLORES-GUTIERREZ Josue-Fernando:</t>
        </r>
        <r>
          <rPr>
            <sz val="9"/>
            <color indexed="81"/>
            <rFont val="Tahoma"/>
            <family val="2"/>
          </rPr>
          <t xml:space="preserve">
Avion (voyageurs) - 180-250 sièges, trajet de 0-1000 km 
0.293 kgCO2e/passager.km
Source: Base Carbone ADEME
 *Divisé par 1000 pour obtenir tCO2e/passager.km</t>
        </r>
      </text>
    </comment>
    <comment ref="AJ72" authorId="0" shapeId="0">
      <text>
        <r>
          <rPr>
            <b/>
            <sz val="9"/>
            <color indexed="81"/>
            <rFont val="Tahoma"/>
            <family val="2"/>
          </rPr>
          <t>FLORES-GUTIERREZ Josue-Fernando:</t>
        </r>
        <r>
          <rPr>
            <sz val="9"/>
            <color indexed="81"/>
            <rFont val="Tahoma"/>
            <family val="2"/>
          </rPr>
          <t xml:space="preserve">
50,0 %
Source: Base Carbone ADEME
Scope 3/ Transport de personnes/ Aerien/ Capacité de  180- 250 sièges/ 
Avion (voyageurs) - 180-250 sièges, trajet de 0-1000 km / Afficher détails
</t>
        </r>
      </text>
    </comment>
    <comment ref="F73" authorId="0" shapeId="0">
      <text>
        <r>
          <rPr>
            <b/>
            <sz val="9"/>
            <color indexed="81"/>
            <rFont val="Tahoma"/>
            <family val="2"/>
          </rPr>
          <t>FLORES-GUTIERREZ Josue-Fernando:</t>
        </r>
        <r>
          <rPr>
            <sz val="9"/>
            <color indexed="81"/>
            <rFont val="Tahoma"/>
            <family val="2"/>
          </rPr>
          <t xml:space="preserve">
Avion (voyageurs) - 180-250 sièges, trajet de 1000-2000 km 
0.216 kgCO2e/passager.km
Source: Base Carbone ADEME
 *Divisé par 1000 pour obtenir CO2e/passager.km</t>
        </r>
      </text>
    </comment>
    <comment ref="Q73" authorId="0" shapeId="0">
      <text>
        <r>
          <rPr>
            <b/>
            <sz val="9"/>
            <color indexed="81"/>
            <rFont val="Tahoma"/>
            <family val="2"/>
          </rPr>
          <t>FLORES-GUTIERREZ Josue-Fernando:</t>
        </r>
        <r>
          <rPr>
            <sz val="9"/>
            <color indexed="81"/>
            <rFont val="Tahoma"/>
            <family val="2"/>
          </rPr>
          <t xml:space="preserve">
Avion (voyageurs) - 180-250 sièges, trajet de 1000-2000 km 
0.216 kgCO2e/passager.km
Source: Base Carbone ADEME
 *Divisé par 1000 pour obtenir CO2e/passager.km</t>
        </r>
      </text>
    </comment>
    <comment ref="AB73" authorId="0" shapeId="0">
      <text>
        <r>
          <rPr>
            <b/>
            <sz val="9"/>
            <color indexed="81"/>
            <rFont val="Tahoma"/>
            <family val="2"/>
          </rPr>
          <t>FLORES-GUTIERREZ Josue-Fernando:</t>
        </r>
        <r>
          <rPr>
            <sz val="9"/>
            <color indexed="81"/>
            <rFont val="Tahoma"/>
            <family val="2"/>
          </rPr>
          <t xml:space="preserve">
Avion (voyageurs) - 180-250 sièges, trajet de 1000-2000 km 
0.216 kgCO2e/passager.km
Source: Base Carbone ADEME
 *Divisé par 1000 pour obtenir CO2e/passager.km</t>
        </r>
      </text>
    </comment>
    <comment ref="AJ73" authorId="0" shapeId="0">
      <text>
        <r>
          <rPr>
            <b/>
            <sz val="9"/>
            <color indexed="81"/>
            <rFont val="Tahoma"/>
            <family val="2"/>
          </rPr>
          <t>FLORES-GUTIERREZ Josue-Fernando:</t>
        </r>
        <r>
          <rPr>
            <sz val="9"/>
            <color indexed="81"/>
            <rFont val="Tahoma"/>
            <family val="2"/>
          </rPr>
          <t xml:space="preserve">
50,0 %
Source: Base Carbone ADEME
Scope 3/ Transport de personnes/ Aerien/ Capacité de 180- 250 sièges/ 
Avion (voyageurs) - 180-250 sièges, trajet de 1000-2000 km / Afficher détails</t>
        </r>
      </text>
    </comment>
    <comment ref="F74" authorId="0" shapeId="0">
      <text>
        <r>
          <rPr>
            <b/>
            <sz val="9"/>
            <color indexed="81"/>
            <rFont val="Tahoma"/>
            <family val="2"/>
          </rPr>
          <t>FLORES-GUTIERREZ Josue-Fernando:</t>
        </r>
        <r>
          <rPr>
            <sz val="9"/>
            <color indexed="81"/>
            <rFont val="Tahoma"/>
            <family val="2"/>
          </rPr>
          <t xml:space="preserve">
Avion (voyageurs) - 180-250 sièges, trajet de 2000-3000 km 
0.209 kgCO2e/passager.km
Source: Base Carbone ADEME
 *Divisé par 1000 pour obtenir tCO2e/passager.km</t>
        </r>
      </text>
    </comment>
    <comment ref="Q74" authorId="0" shapeId="0">
      <text>
        <r>
          <rPr>
            <b/>
            <sz val="9"/>
            <color indexed="81"/>
            <rFont val="Tahoma"/>
            <family val="2"/>
          </rPr>
          <t>FLORES-GUTIERREZ Josue-Fernando:</t>
        </r>
        <r>
          <rPr>
            <sz val="9"/>
            <color indexed="81"/>
            <rFont val="Tahoma"/>
            <family val="2"/>
          </rPr>
          <t xml:space="preserve">
Avion (voyageurs) - 180-250 sièges, trajet de 2000-3000 km 
0.209 kgCO2e/passager.km
Source: Base Carbone ADEME
 *Divisé par 1000 pour obtenir tCO2e/passager.km</t>
        </r>
      </text>
    </comment>
    <comment ref="AB74" authorId="0" shapeId="0">
      <text>
        <r>
          <rPr>
            <b/>
            <sz val="9"/>
            <color indexed="81"/>
            <rFont val="Tahoma"/>
            <family val="2"/>
          </rPr>
          <t>FLORES-GUTIERREZ Josue-Fernando:</t>
        </r>
        <r>
          <rPr>
            <sz val="9"/>
            <color indexed="81"/>
            <rFont val="Tahoma"/>
            <family val="2"/>
          </rPr>
          <t xml:space="preserve">
Avion (voyageurs) - 180-250 sièges, trajet de 2000-3000 km 
0.209 kgCO2e/passager.km
Source: Base Carbone ADEME
 *Divisé par 1000 pour obtenir tCO2e/passager.km</t>
        </r>
      </text>
    </comment>
    <comment ref="AJ74" authorId="0" shapeId="0">
      <text>
        <r>
          <rPr>
            <b/>
            <sz val="9"/>
            <color indexed="81"/>
            <rFont val="Tahoma"/>
            <family val="2"/>
          </rPr>
          <t>FLORES-GUTIERREZ Josue-Fernando:</t>
        </r>
        <r>
          <rPr>
            <sz val="9"/>
            <color indexed="81"/>
            <rFont val="Tahoma"/>
            <family val="2"/>
          </rPr>
          <t xml:space="preserve">
50,0 %
Source: Base Carbone ADEME
Scope 3/ Transport de personnes/ Aerien/ Capacité de  180- 250 sièges/ 
Avion (voyageurs) - 180-250 sièges, trajet de 2000-3000 km / Afficher détails</t>
        </r>
      </text>
    </comment>
    <comment ref="F75" authorId="0" shapeId="0">
      <text>
        <r>
          <rPr>
            <b/>
            <sz val="9"/>
            <color indexed="81"/>
            <rFont val="Tahoma"/>
            <family val="2"/>
          </rPr>
          <t>FLORES-GUTIERREZ Josue-Fernando:</t>
        </r>
        <r>
          <rPr>
            <sz val="9"/>
            <color indexed="81"/>
            <rFont val="Tahoma"/>
            <family val="2"/>
          </rPr>
          <t xml:space="preserve">
Avion (voyageurs) - plus de 250 sièges, trajet de 3000-4000 km 
0.251 kgCO2e/passager.km
Source: Base Carbone ADEME
 *Divisé par 1000 pour obtenir tCO2e/passager.km</t>
        </r>
      </text>
    </comment>
    <comment ref="Q75" authorId="0" shapeId="0">
      <text>
        <r>
          <rPr>
            <b/>
            <sz val="9"/>
            <color indexed="81"/>
            <rFont val="Tahoma"/>
            <family val="2"/>
          </rPr>
          <t>FLORES-GUTIERREZ Josue-Fernando:</t>
        </r>
        <r>
          <rPr>
            <sz val="9"/>
            <color indexed="81"/>
            <rFont val="Tahoma"/>
            <family val="2"/>
          </rPr>
          <t xml:space="preserve">
Avion (voyageurs) - plus de 250 sièges, trajet de 3000-4000 km 
0.251 kgCO2e/passager.km
Source: Base Carbone ADEME
 *Divisé par 1000 pour obtenir tCO2e/passager.km</t>
        </r>
      </text>
    </comment>
    <comment ref="AB75" authorId="0" shapeId="0">
      <text>
        <r>
          <rPr>
            <b/>
            <sz val="9"/>
            <color indexed="81"/>
            <rFont val="Tahoma"/>
            <family val="2"/>
          </rPr>
          <t>FLORES-GUTIERREZ Josue-Fernando:</t>
        </r>
        <r>
          <rPr>
            <sz val="9"/>
            <color indexed="81"/>
            <rFont val="Tahoma"/>
            <family val="2"/>
          </rPr>
          <t xml:space="preserve">
Avion (voyageurs) - plus de 250 sièges, trajet de 3000-4000 km 
0.251 kgCO2e/passager.km
Source: Base Carbone ADEME
 *Divisé par 1000 pour obtenir tCO2e/passager.km</t>
        </r>
      </text>
    </comment>
    <comment ref="AJ75" authorId="0" shapeId="0">
      <text>
        <r>
          <rPr>
            <b/>
            <sz val="9"/>
            <color indexed="81"/>
            <rFont val="Tahoma"/>
            <family val="2"/>
          </rPr>
          <t>FLORES-GUTIERREZ Josue-Fernando:</t>
        </r>
        <r>
          <rPr>
            <sz val="9"/>
            <color indexed="81"/>
            <rFont val="Tahoma"/>
            <family val="2"/>
          </rPr>
          <t xml:space="preserve">
50,0 %
Source: Base Carbone ADEME
Scope 3/ Transport de personnes/ Aerien/ Capacité de plus de 250 sièges/ 
Avion (voyageurs) - plus de 250 sièges, trajet de 3000 - 4000 km / Afficher détails</t>
        </r>
      </text>
    </comment>
    <comment ref="F76" authorId="0" shapeId="0">
      <text>
        <r>
          <rPr>
            <b/>
            <sz val="9"/>
            <color indexed="81"/>
            <rFont val="Tahoma"/>
            <family val="2"/>
          </rPr>
          <t>FLORES-GUTIERREZ Josue-Fernando:</t>
        </r>
        <r>
          <rPr>
            <sz val="9"/>
            <color indexed="81"/>
            <rFont val="Tahoma"/>
            <family val="2"/>
          </rPr>
          <t xml:space="preserve">
Avion (voyageurs) - plus de 250 sièges, trajet de 4000-5000 km 
0.258 kgCO2e/passager.km
Source: Base Carbone ADEME
 *Divisé par 1000 pour obtenir tCO2e/passager.km</t>
        </r>
      </text>
    </comment>
    <comment ref="Q76" authorId="0" shapeId="0">
      <text>
        <r>
          <rPr>
            <b/>
            <sz val="9"/>
            <color indexed="81"/>
            <rFont val="Tahoma"/>
            <family val="2"/>
          </rPr>
          <t>FLORES-GUTIERREZ Josue-Fernando:</t>
        </r>
        <r>
          <rPr>
            <sz val="9"/>
            <color indexed="81"/>
            <rFont val="Tahoma"/>
            <family val="2"/>
          </rPr>
          <t xml:space="preserve">
Avion (voyageurs) - plus de 250 sièges, trajet de 4000-5000 km 
0.258 kgCO2e/passager.km
Source: Base Carbone ADEME
 *Divisé par 1000 pour obtenir tCO2e/passager.km</t>
        </r>
      </text>
    </comment>
    <comment ref="AB76" authorId="0" shapeId="0">
      <text>
        <r>
          <rPr>
            <b/>
            <sz val="9"/>
            <color indexed="81"/>
            <rFont val="Tahoma"/>
            <family val="2"/>
          </rPr>
          <t>FLORES-GUTIERREZ Josue-Fernando:</t>
        </r>
        <r>
          <rPr>
            <sz val="9"/>
            <color indexed="81"/>
            <rFont val="Tahoma"/>
            <family val="2"/>
          </rPr>
          <t xml:space="preserve">
Avion (voyageurs) - plus de 250 sièges, trajet de 4000-5000 km 
0.258 kgCO2e/passager.km
Source: Base Carbone ADEME
 *Divisé par 1000 pour obtenir tCO2e/passager.km</t>
        </r>
      </text>
    </comment>
    <comment ref="AJ76" authorId="0" shapeId="0">
      <text>
        <r>
          <rPr>
            <b/>
            <sz val="9"/>
            <color indexed="81"/>
            <rFont val="Tahoma"/>
            <family val="2"/>
          </rPr>
          <t>FLORES-GUTIERREZ Josue-Fernando:</t>
        </r>
        <r>
          <rPr>
            <sz val="9"/>
            <color indexed="81"/>
            <rFont val="Tahoma"/>
            <family val="2"/>
          </rPr>
          <t xml:space="preserve">
50,0 %
Source: Base Carbone ADEME
Scope 3/ Transport de personnes/ Aerien/ Capacité de plus de 250 sièges/ 
Avion (voyageurs) - plus de 250 sièges, trajet de 4000 - 5000 km / Afficher détails</t>
        </r>
      </text>
    </comment>
    <comment ref="F77" authorId="0" shapeId="0">
      <text>
        <r>
          <rPr>
            <b/>
            <sz val="9"/>
            <color indexed="81"/>
            <rFont val="Tahoma"/>
            <family val="2"/>
          </rPr>
          <t>FLORES-GUTIERREZ Josue-Fernando:</t>
        </r>
        <r>
          <rPr>
            <sz val="9"/>
            <color indexed="81"/>
            <rFont val="Tahoma"/>
            <family val="2"/>
          </rPr>
          <t xml:space="preserve">
Avion (voyageurs) -  plus de 250 sièges, trajet 5000 - 6000 km 
0.223 kgCO2e/passager.km
Source: Base Carbone ADEME
 *Divisé par 1000 pour obtenir tonnes de CO2e</t>
        </r>
      </text>
    </comment>
    <comment ref="Q77" authorId="0" shapeId="0">
      <text>
        <r>
          <rPr>
            <b/>
            <sz val="9"/>
            <color indexed="81"/>
            <rFont val="Tahoma"/>
            <family val="2"/>
          </rPr>
          <t>FLORES-GUTIERREZ Josue-Fernando:</t>
        </r>
        <r>
          <rPr>
            <sz val="9"/>
            <color indexed="81"/>
            <rFont val="Tahoma"/>
            <family val="2"/>
          </rPr>
          <t xml:space="preserve">
Avion (voyageurs) -  plus de 250 sièges, trajet 5000 - 6000 km 
0.223 kgCO2e/passager.km
Source: Base Carbone ADEME
 *Divisé par 1000 pour obtenir tonnes de CO2e</t>
        </r>
      </text>
    </comment>
    <comment ref="AB77" authorId="0" shapeId="0">
      <text>
        <r>
          <rPr>
            <b/>
            <sz val="9"/>
            <color indexed="81"/>
            <rFont val="Tahoma"/>
            <family val="2"/>
          </rPr>
          <t>FLORES-GUTIERREZ Josue-Fernando:</t>
        </r>
        <r>
          <rPr>
            <sz val="9"/>
            <color indexed="81"/>
            <rFont val="Tahoma"/>
            <family val="2"/>
          </rPr>
          <t xml:space="preserve">
Avion (voyageurs) -  plus de 250 sièges, trajet 5000 - 6000 km 
0.223 kgCO2e/passager.km
Source: Base Carbone ADEME
 *Divisé par 1000 pour obtenir tonnes de CO2e</t>
        </r>
      </text>
    </comment>
    <comment ref="AJ77" authorId="0" shapeId="0">
      <text>
        <r>
          <rPr>
            <b/>
            <sz val="9"/>
            <color indexed="81"/>
            <rFont val="Tahoma"/>
            <family val="2"/>
          </rPr>
          <t>FLORES-GUTIERREZ Josue-Fernando:</t>
        </r>
        <r>
          <rPr>
            <sz val="9"/>
            <color indexed="81"/>
            <rFont val="Tahoma"/>
            <family val="2"/>
          </rPr>
          <t xml:space="preserve">
50,0 %
Source: Base Carbone ADEME
Scope 3/ Transport de personnes/ Aerien/ Capacité de plus de 250 sièges/ 
Avion (voyageurs) - plus de 250 sièges, trajet de 5000 - 6000 km / Afficher détails</t>
        </r>
      </text>
    </comment>
    <comment ref="F78" authorId="0" shapeId="0">
      <text>
        <r>
          <rPr>
            <b/>
            <sz val="9"/>
            <color indexed="81"/>
            <rFont val="Tahoma"/>
            <family val="2"/>
          </rPr>
          <t>FLORES-GUTIERREZ Josue-Fernando:</t>
        </r>
        <r>
          <rPr>
            <sz val="9"/>
            <color indexed="81"/>
            <rFont val="Tahoma"/>
            <family val="2"/>
          </rPr>
          <t xml:space="preserve">
Avion (voyageurs) -  plus de 250 sièges, trajet de 6000-7000 km 
0.209 kgCO2e/passager.km
Source: Base Carbone ADEME
 *Divisé par 1000 pour obtenir tCO2e/passager.km</t>
        </r>
      </text>
    </comment>
    <comment ref="Q78" authorId="0" shapeId="0">
      <text>
        <r>
          <rPr>
            <b/>
            <sz val="9"/>
            <color indexed="81"/>
            <rFont val="Tahoma"/>
            <family val="2"/>
          </rPr>
          <t>FLORES-GUTIERREZ Josue-Fernando:</t>
        </r>
        <r>
          <rPr>
            <sz val="9"/>
            <color indexed="81"/>
            <rFont val="Tahoma"/>
            <family val="2"/>
          </rPr>
          <t xml:space="preserve">
Avion (voyageurs) -  plus de 250 sièges, trajet de 6000-7000 km 
0.209 kgCO2e/passager.km
Source: Base Carbone ADEME
 *Divisé par 1000 pour obtenir tCO2e/passager.km</t>
        </r>
      </text>
    </comment>
    <comment ref="AB78" authorId="0" shapeId="0">
      <text>
        <r>
          <rPr>
            <b/>
            <sz val="9"/>
            <color indexed="81"/>
            <rFont val="Tahoma"/>
            <family val="2"/>
          </rPr>
          <t>FLORES-GUTIERREZ Josue-Fernando:</t>
        </r>
        <r>
          <rPr>
            <sz val="9"/>
            <color indexed="81"/>
            <rFont val="Tahoma"/>
            <family val="2"/>
          </rPr>
          <t xml:space="preserve">
Avion (voyageurs) -  plus de 250 sièges, trajet de 6000-7000 km 
0.209 kgCO2e/passager.km
Source: Base Carbone ADEME
 *Divisé par 1000 pour obtenir tCO2e/passager.km</t>
        </r>
      </text>
    </comment>
    <comment ref="AJ78" authorId="0" shapeId="0">
      <text>
        <r>
          <rPr>
            <b/>
            <sz val="9"/>
            <color indexed="81"/>
            <rFont val="Tahoma"/>
            <family val="2"/>
          </rPr>
          <t>FLORES-GUTIERREZ Josue-Fernando:</t>
        </r>
        <r>
          <rPr>
            <sz val="9"/>
            <color indexed="81"/>
            <rFont val="Tahoma"/>
            <family val="2"/>
          </rPr>
          <t xml:space="preserve">
50,0 %
Source: Base Carbone ADEME
Scope 3/ Transport de personnes/ Aerien/ Capacité de plus de 250 sièges/ 
Avion (voyageurs) - plus de 250 sièges, trajet de 6000 - 7000 km / Afficher détails</t>
        </r>
      </text>
    </comment>
    <comment ref="F79" authorId="0" shapeId="0">
      <text>
        <r>
          <rPr>
            <b/>
            <sz val="9"/>
            <color indexed="81"/>
            <rFont val="Tahoma"/>
            <family val="2"/>
          </rPr>
          <t>FLORES-GUTIERREZ Josue-Fernando:</t>
        </r>
        <r>
          <rPr>
            <sz val="9"/>
            <color indexed="81"/>
            <rFont val="Tahoma"/>
            <family val="2"/>
          </rPr>
          <t xml:space="preserve">
Avion (voyageurs) -  plus de 250 sièges, trajet de 7000-8000 km 
0.209 kgCO2e/passager.km
Source: Base Carbone ADEME
 *Divisé par 1000 pour obtenir tCO2e/passager.km</t>
        </r>
      </text>
    </comment>
    <comment ref="Q79" authorId="0" shapeId="0">
      <text>
        <r>
          <rPr>
            <b/>
            <sz val="9"/>
            <color indexed="81"/>
            <rFont val="Tahoma"/>
            <family val="2"/>
          </rPr>
          <t>FLORES-GUTIERREZ Josue-Fernando:</t>
        </r>
        <r>
          <rPr>
            <sz val="9"/>
            <color indexed="81"/>
            <rFont val="Tahoma"/>
            <family val="2"/>
          </rPr>
          <t xml:space="preserve">
Avion (voyageurs) -  plus de 250 sièges, trajet de 7000-8000 km 
0.209 kgCO2e/passager.km
Source: Base Carbone ADEME
 *Divisé par 1000 pour obtenir tCO2e/passager.km</t>
        </r>
      </text>
    </comment>
    <comment ref="AB79" authorId="0" shapeId="0">
      <text>
        <r>
          <rPr>
            <b/>
            <sz val="9"/>
            <color indexed="81"/>
            <rFont val="Tahoma"/>
            <family val="2"/>
          </rPr>
          <t>FLORES-GUTIERREZ Josue-Fernando:</t>
        </r>
        <r>
          <rPr>
            <sz val="9"/>
            <color indexed="81"/>
            <rFont val="Tahoma"/>
            <family val="2"/>
          </rPr>
          <t xml:space="preserve">
Avion (voyageurs) -  plus de 250 sièges, trajet de 7000-8000 km 
0.209 kgCO2e/passager.km
Source: Base Carbone ADEME
 *Divisé par 1000 pour obtenir tCO2e/passager.km</t>
        </r>
      </text>
    </comment>
    <comment ref="AJ79" authorId="0" shapeId="0">
      <text>
        <r>
          <rPr>
            <b/>
            <sz val="9"/>
            <color indexed="81"/>
            <rFont val="Tahoma"/>
            <family val="2"/>
          </rPr>
          <t>FLORES-GUTIERREZ Josue-Fernando:</t>
        </r>
        <r>
          <rPr>
            <sz val="9"/>
            <color indexed="81"/>
            <rFont val="Tahoma"/>
            <family val="2"/>
          </rPr>
          <t xml:space="preserve">
50,0 %
Source: Base Carbone ADEME
Scope 3/ Transport de personnes/ Aerien/ Capacité de plus de 250 sièges/ 
Avion (voyageurs) - plus de 250 sièges, trajet de 7000 - 8000 km / Afficher détails</t>
        </r>
      </text>
    </comment>
    <comment ref="F80" authorId="0" shapeId="0">
      <text>
        <r>
          <rPr>
            <b/>
            <sz val="9"/>
            <color indexed="81"/>
            <rFont val="Tahoma"/>
            <family val="2"/>
          </rPr>
          <t>FLORES-GUTIERREZ Josue-Fernando:</t>
        </r>
        <r>
          <rPr>
            <sz val="9"/>
            <color indexed="81"/>
            <rFont val="Tahoma"/>
            <family val="2"/>
          </rPr>
          <t xml:space="preserve">
Avion (voyageurs) - plus de 250 sièges, trajet de 8000-9000 km 
0.23 kgCO2e/passager.km
Source: Base Carbone ADEME
 *Divisé par 1000 pour obtenir tCO2e/passager.km</t>
        </r>
      </text>
    </comment>
    <comment ref="Q80" authorId="0" shapeId="0">
      <text>
        <r>
          <rPr>
            <b/>
            <sz val="9"/>
            <color indexed="81"/>
            <rFont val="Tahoma"/>
            <family val="2"/>
          </rPr>
          <t>FLORES-GUTIERREZ Josue-Fernando:</t>
        </r>
        <r>
          <rPr>
            <sz val="9"/>
            <color indexed="81"/>
            <rFont val="Tahoma"/>
            <family val="2"/>
          </rPr>
          <t xml:space="preserve">
Avion (voyageurs) - plus de 250 sièges, trajet de 8000-9000 km 
0.23 kgCO2e/passager.km
Source: Base Carbone ADEME
 *Divisé par 1000 pour obtenir tCO2e/passager.km</t>
        </r>
      </text>
    </comment>
    <comment ref="AB80" authorId="0" shapeId="0">
      <text>
        <r>
          <rPr>
            <b/>
            <sz val="9"/>
            <color indexed="81"/>
            <rFont val="Tahoma"/>
            <family val="2"/>
          </rPr>
          <t>FLORES-GUTIERREZ Josue-Fernando:</t>
        </r>
        <r>
          <rPr>
            <sz val="9"/>
            <color indexed="81"/>
            <rFont val="Tahoma"/>
            <family val="2"/>
          </rPr>
          <t xml:space="preserve">
Avion (voyageurs) - plus de 250 sièges, trajet de 8000-9000 km 
0.23 kgCO2e/passager.km
Source: Base Carbone ADEME
 *Divisé par 1000 pour obtenir tCO2e/passager.km</t>
        </r>
      </text>
    </comment>
    <comment ref="AJ80" authorId="0" shapeId="0">
      <text>
        <r>
          <rPr>
            <b/>
            <sz val="9"/>
            <color indexed="81"/>
            <rFont val="Tahoma"/>
            <family val="2"/>
          </rPr>
          <t>FLORES-GUTIERREZ Josue-Fernando:</t>
        </r>
        <r>
          <rPr>
            <sz val="9"/>
            <color indexed="81"/>
            <rFont val="Tahoma"/>
            <family val="2"/>
          </rPr>
          <t xml:space="preserve">
50,0 %
Source: Base Carbone ADEME
Scope 3/ Transport de personnes/ Aerien/ Capacité de plus de 250 sièges/ Avion (voyageurs) - plus de 250 sièges, trajet de 8000 - 9000 km / Afficher détails</t>
        </r>
      </text>
    </comment>
    <comment ref="F81" authorId="0" shapeId="0">
      <text>
        <r>
          <rPr>
            <b/>
            <sz val="9"/>
            <color indexed="81"/>
            <rFont val="Tahoma"/>
            <family val="2"/>
          </rPr>
          <t>FLORES-GUTIERREZ Josue-Fernando:</t>
        </r>
        <r>
          <rPr>
            <sz val="9"/>
            <color indexed="81"/>
            <rFont val="Tahoma"/>
            <family val="2"/>
          </rPr>
          <t xml:space="preserve">
Avion (voyageurs) - plus de 250 sièges, trajet de 9000-10000 km 
0.223 kgCO2e/passager.km
Source: Base Carbone ADEME
 *Divisé par 1000 pour obtenir tCO2e/passager.km</t>
        </r>
      </text>
    </comment>
    <comment ref="Q81" authorId="0" shapeId="0">
      <text>
        <r>
          <rPr>
            <b/>
            <sz val="9"/>
            <color indexed="81"/>
            <rFont val="Tahoma"/>
            <family val="2"/>
          </rPr>
          <t>FLORES-GUTIERREZ Josue-Fernando:</t>
        </r>
        <r>
          <rPr>
            <sz val="9"/>
            <color indexed="81"/>
            <rFont val="Tahoma"/>
            <family val="2"/>
          </rPr>
          <t xml:space="preserve">
Avion (voyageurs) - plus de 250 sièges, trajet de 9000-10000 km 
0.223 kgCO2e/passager.km
Source: Base Carbone ADEME
 *Divisé par 1000 pour obtenir tCO2e/passager.km</t>
        </r>
      </text>
    </comment>
    <comment ref="AB81" authorId="0" shapeId="0">
      <text>
        <r>
          <rPr>
            <b/>
            <sz val="9"/>
            <color indexed="81"/>
            <rFont val="Tahoma"/>
            <family val="2"/>
          </rPr>
          <t>FLORES-GUTIERREZ Josue-Fernando:</t>
        </r>
        <r>
          <rPr>
            <sz val="9"/>
            <color indexed="81"/>
            <rFont val="Tahoma"/>
            <family val="2"/>
          </rPr>
          <t xml:space="preserve">
Avion (voyageurs) - plus de 250 sièges, trajet de 9000-10000 km 
0.223 kgCO2e/passager.km
Source: Base Carbone ADEME
 *Divisé par 1000 pour obtenir tCO2e/passager.km</t>
        </r>
      </text>
    </comment>
    <comment ref="AJ81" authorId="0" shapeId="0">
      <text>
        <r>
          <rPr>
            <b/>
            <sz val="9"/>
            <color indexed="81"/>
            <rFont val="Tahoma"/>
            <family val="2"/>
          </rPr>
          <t>FLORES-GUTIERREZ Josue-Fernando:</t>
        </r>
        <r>
          <rPr>
            <sz val="9"/>
            <color indexed="81"/>
            <rFont val="Tahoma"/>
            <family val="2"/>
          </rPr>
          <t xml:space="preserve">
50,0 %
Source: Base Carbone ADEME
Scope 3/ Transport de personnes/ Aerien/ Capacité de plus de 250 sièges/ 
Avion (voyageurs) - plus de 250 sièges, trajet de 9000 - 10000 km / Afficher détails</t>
        </r>
      </text>
    </comment>
    <comment ref="F82" authorId="0" shapeId="0">
      <text>
        <r>
          <rPr>
            <b/>
            <sz val="9"/>
            <color indexed="81"/>
            <rFont val="Tahoma"/>
            <family val="2"/>
          </rPr>
          <t>FLORES-GUTIERREZ Josue-Fernando:</t>
        </r>
        <r>
          <rPr>
            <sz val="9"/>
            <color indexed="81"/>
            <rFont val="Tahoma"/>
            <family val="2"/>
          </rPr>
          <t xml:space="preserve">
Avion (voyageurs) -  plus de 250 sièges, trajet 10000 - 11000 km 
0.216 kgCO2e/passager.km
Source: Base Carbone ADEME
 *Divisé par 1000 pour obtenir tonnes de CO2e</t>
        </r>
      </text>
    </comment>
    <comment ref="Q82" authorId="0" shapeId="0">
      <text>
        <r>
          <rPr>
            <b/>
            <sz val="9"/>
            <color indexed="81"/>
            <rFont val="Tahoma"/>
            <family val="2"/>
          </rPr>
          <t>FLORES-GUTIERREZ Josue-Fernando:</t>
        </r>
        <r>
          <rPr>
            <sz val="9"/>
            <color indexed="81"/>
            <rFont val="Tahoma"/>
            <family val="2"/>
          </rPr>
          <t xml:space="preserve">
Avion (voyageurs) -  plus de 250 sièges, trajet 10000 - 11000 km 
0.216 kgCO2e/passager.km
Source: Base Carbone ADEME
 *Divisé par 1000 pour obtenir tonnes de CO2e</t>
        </r>
      </text>
    </comment>
    <comment ref="AB82" authorId="0" shapeId="0">
      <text>
        <r>
          <rPr>
            <b/>
            <sz val="9"/>
            <color indexed="81"/>
            <rFont val="Tahoma"/>
            <family val="2"/>
          </rPr>
          <t>FLORES-GUTIERREZ Josue-Fernando:</t>
        </r>
        <r>
          <rPr>
            <sz val="9"/>
            <color indexed="81"/>
            <rFont val="Tahoma"/>
            <family val="2"/>
          </rPr>
          <t xml:space="preserve">
Avion (voyageurs) -  plus de 250 sièges, trajet 10000 - 11000 km 
0.216 kgCO2e/passager.km
Source: Base Carbone ADEME
 *Divisé par 1000 pour obtenir tonnes de CO2e</t>
        </r>
      </text>
    </comment>
    <comment ref="AJ82" authorId="0" shapeId="0">
      <text>
        <r>
          <rPr>
            <b/>
            <sz val="9"/>
            <color indexed="81"/>
            <rFont val="Tahoma"/>
            <family val="2"/>
          </rPr>
          <t>FLORES-GUTIERREZ Josue-Fernando:</t>
        </r>
        <r>
          <rPr>
            <sz val="9"/>
            <color indexed="81"/>
            <rFont val="Tahoma"/>
            <family val="2"/>
          </rPr>
          <t xml:space="preserve">
50,0 %
Source: Base Carbone ADEME
Scope 3/ Transport de personnes/ Aerien/ Capacité de plus de 250 sièges/ 
Avion (voyageurs) - plus de 250 sièges, trajet de 10000 - 11000 km / Afficher détails</t>
        </r>
      </text>
    </comment>
    <comment ref="F83" authorId="0" shapeId="0">
      <text>
        <r>
          <rPr>
            <b/>
            <sz val="9"/>
            <color indexed="81"/>
            <rFont val="Tahoma"/>
            <family val="2"/>
          </rPr>
          <t>FLORES-GUTIERREZ Josue-Fernando:</t>
        </r>
        <r>
          <rPr>
            <sz val="9"/>
            <color indexed="81"/>
            <rFont val="Tahoma"/>
            <family val="2"/>
          </rPr>
          <t xml:space="preserve">
Avion (voyageurs) -  plus de 250 sièges, trajet &gt; 11000 km 
0.223 kgCO2e/passager.km
Source: Base Carbone ADEME
 *Divisé par 1000 pour obtenir tonnes de CO2e</t>
        </r>
      </text>
    </comment>
    <comment ref="Q83" authorId="0" shapeId="0">
      <text>
        <r>
          <rPr>
            <b/>
            <sz val="9"/>
            <color indexed="81"/>
            <rFont val="Tahoma"/>
            <family val="2"/>
          </rPr>
          <t>FLORES-GUTIERREZ Josue-Fernando:</t>
        </r>
        <r>
          <rPr>
            <sz val="9"/>
            <color indexed="81"/>
            <rFont val="Tahoma"/>
            <family val="2"/>
          </rPr>
          <t xml:space="preserve">
Avion (voyageurs) -  plus de 250 sièges, trajet &gt; 11000 km 
0.223 kgCO2e/passager.km
Source: Base Carbone ADEME
 *Divisé par 1000 pour obtenir tonnes de CO2e</t>
        </r>
      </text>
    </comment>
    <comment ref="AB83" authorId="0" shapeId="0">
      <text>
        <r>
          <rPr>
            <b/>
            <sz val="9"/>
            <color indexed="81"/>
            <rFont val="Tahoma"/>
            <family val="2"/>
          </rPr>
          <t>FLORES-GUTIERREZ Josue-Fernando:</t>
        </r>
        <r>
          <rPr>
            <sz val="9"/>
            <color indexed="81"/>
            <rFont val="Tahoma"/>
            <family val="2"/>
          </rPr>
          <t xml:space="preserve">
Avion (voyageurs) -  plus de 250 sièges, trajet &gt; 11000 km 
0.223 kgCO2e/passager.km
Source: Base Carbone ADEME
 *Divisé par 1000 pour obtenir tonnes de CO2e</t>
        </r>
      </text>
    </comment>
    <comment ref="AJ83" authorId="0" shapeId="0">
      <text>
        <r>
          <rPr>
            <b/>
            <sz val="9"/>
            <color indexed="81"/>
            <rFont val="Tahoma"/>
            <family val="2"/>
          </rPr>
          <t>FLORES-GUTIERREZ Josue-Fernando:</t>
        </r>
        <r>
          <rPr>
            <sz val="9"/>
            <color indexed="81"/>
            <rFont val="Tahoma"/>
            <family val="2"/>
          </rPr>
          <t xml:space="preserve">
50,0 %
Source: Base Carbone ADEME
Scope 3/ Transport de personnes/ Aerien/ Capacité de plus de 250 sièges/ Avion (voyageurs) - plus de 250 sièges, trajet  &gt; 11000 km / Afficher détails</t>
        </r>
      </text>
    </comment>
    <comment ref="E84" authorId="2" shapeId="0">
      <text>
        <r>
          <rPr>
            <b/>
            <sz val="10"/>
            <color indexed="81"/>
            <rFont val="Tahoma"/>
            <family val="2"/>
          </rPr>
          <t>NG:</t>
        </r>
        <r>
          <rPr>
            <sz val="10"/>
            <color indexed="81"/>
            <rFont val="Tahoma"/>
            <family val="2"/>
          </rPr>
          <t xml:space="preserve">
source : Base carbone : déplacements, avion plus de 250 sièges, 3000-4000 km - facteur d'émission (facteur d'émission moyen)  </t>
        </r>
      </text>
    </comment>
    <comment ref="P84" authorId="1" shapeId="0">
      <text>
        <r>
          <rPr>
            <b/>
            <sz val="9"/>
            <color indexed="81"/>
            <rFont val="Tahoma"/>
            <family val="2"/>
          </rPr>
          <t>LETANG Kristell:</t>
        </r>
        <r>
          <rPr>
            <sz val="9"/>
            <color indexed="81"/>
            <rFont val="Tahoma"/>
            <family val="2"/>
          </rPr>
          <t xml:space="preserve">
Avion plus de 250 sièges trajet de 3000 à 4000 km
KgCO2e/passager.Km
Divisé par 1000 pour obtenir des tonnes</t>
        </r>
      </text>
    </comment>
    <comment ref="F85" authorId="0" shapeId="0">
      <text>
        <r>
          <rPr>
            <b/>
            <sz val="9"/>
            <color indexed="81"/>
            <rFont val="Tahoma"/>
            <family val="2"/>
          </rPr>
          <t>FLORES-GUTIERREZ Josue-Fernando:</t>
        </r>
        <r>
          <rPr>
            <sz val="9"/>
            <color indexed="81"/>
            <rFont val="Tahoma"/>
            <family val="2"/>
          </rPr>
          <t xml:space="preserve">
Avion (voyageurs) - 180-250 sièges, trajet de 0-1000 km 
0.293 kgCO2e/passager.km
Source: Base Carbone ADEME
 *Divisé par 1000 pour obtenir tCO2e/passager.km</t>
        </r>
      </text>
    </comment>
    <comment ref="Q85" authorId="0" shapeId="0">
      <text>
        <r>
          <rPr>
            <b/>
            <sz val="9"/>
            <color indexed="81"/>
            <rFont val="Tahoma"/>
            <family val="2"/>
          </rPr>
          <t>FLORES-GUTIERREZ Josue-Fernando:</t>
        </r>
        <r>
          <rPr>
            <sz val="9"/>
            <color indexed="81"/>
            <rFont val="Tahoma"/>
            <family val="2"/>
          </rPr>
          <t xml:space="preserve">
Avion (voyageurs) - 180-250 sièges, trajet de 0-1000 km 
0.293 kgCO2e/passager.km
Source: Base Carbone ADEME
 *Divisé par 1000 pour obtenir tCO2e/passager.km</t>
        </r>
      </text>
    </comment>
    <comment ref="AB85" authorId="0" shapeId="0">
      <text>
        <r>
          <rPr>
            <b/>
            <sz val="9"/>
            <color indexed="81"/>
            <rFont val="Tahoma"/>
            <family val="2"/>
          </rPr>
          <t>FLORES-GUTIERREZ Josue-Fernando:</t>
        </r>
        <r>
          <rPr>
            <sz val="9"/>
            <color indexed="81"/>
            <rFont val="Tahoma"/>
            <family val="2"/>
          </rPr>
          <t xml:space="preserve">
Avion (voyageurs) - 180-250 sièges, trajet de 0-1000 km 
0.293 kgCO2e/passager.km
Source: Base Carbone ADEME
 *Divisé par 1000 pour obtenir tCO2e/passager.km</t>
        </r>
      </text>
    </comment>
    <comment ref="AJ85" authorId="0" shapeId="0">
      <text>
        <r>
          <rPr>
            <b/>
            <sz val="9"/>
            <color indexed="81"/>
            <rFont val="Tahoma"/>
            <family val="2"/>
          </rPr>
          <t>FLORES-GUTIERREZ Josue-Fernando:</t>
        </r>
        <r>
          <rPr>
            <sz val="9"/>
            <color indexed="81"/>
            <rFont val="Tahoma"/>
            <family val="2"/>
          </rPr>
          <t xml:space="preserve">
50,0 %
Source: Base Carbone ADEME
Scope 3/ Transport de personnes/ Aerien/ Capacité de  180- 250 sièges/ 
Avion (voyageurs) - 180-250 sièges, trajet de 0-1000 km / Afficher détails
</t>
        </r>
      </text>
    </comment>
    <comment ref="F86" authorId="0" shapeId="0">
      <text>
        <r>
          <rPr>
            <b/>
            <sz val="9"/>
            <color indexed="81"/>
            <rFont val="Tahoma"/>
            <family val="2"/>
          </rPr>
          <t>FLORES-GUTIERREZ Josue-Fernando:</t>
        </r>
        <r>
          <rPr>
            <sz val="9"/>
            <color indexed="81"/>
            <rFont val="Tahoma"/>
            <family val="2"/>
          </rPr>
          <t xml:space="preserve">
Avion (voyageurs) - 180-250 sièges, trajet de 1000-2000 km 
0.216 kgCO2e/passager.km
Source: Base Carbone ADEME
 *Divisé par 1000 pour obtenir CO2e/passager.km</t>
        </r>
      </text>
    </comment>
    <comment ref="Q86" authorId="0" shapeId="0">
      <text>
        <r>
          <rPr>
            <b/>
            <sz val="9"/>
            <color indexed="81"/>
            <rFont val="Tahoma"/>
            <family val="2"/>
          </rPr>
          <t>FLORES-GUTIERREZ Josue-Fernando:</t>
        </r>
        <r>
          <rPr>
            <sz val="9"/>
            <color indexed="81"/>
            <rFont val="Tahoma"/>
            <family val="2"/>
          </rPr>
          <t xml:space="preserve">
Avion (voyageurs) - 180-250 sièges, trajet de 1000-2000 km 
0.216 kgCO2e/passager.km
Source: Base Carbone ADEME
 *Divisé par 1000 pour obtenir CO2e/passager.km</t>
        </r>
      </text>
    </comment>
    <comment ref="AB86" authorId="0" shapeId="0">
      <text>
        <r>
          <rPr>
            <b/>
            <sz val="9"/>
            <color indexed="81"/>
            <rFont val="Tahoma"/>
            <family val="2"/>
          </rPr>
          <t>FLORES-GUTIERREZ Josue-Fernando:</t>
        </r>
        <r>
          <rPr>
            <sz val="9"/>
            <color indexed="81"/>
            <rFont val="Tahoma"/>
            <family val="2"/>
          </rPr>
          <t xml:space="preserve">
Avion (voyageurs) - 180-250 sièges, trajet de 1000-2000 km 
0.216 kgCO2e/passager.km
Source: Base Carbone ADEME
 *Divisé par 1000 pour obtenir CO2e/passager.km</t>
        </r>
      </text>
    </comment>
    <comment ref="AJ86" authorId="0" shapeId="0">
      <text>
        <r>
          <rPr>
            <b/>
            <sz val="9"/>
            <color indexed="81"/>
            <rFont val="Tahoma"/>
            <family val="2"/>
          </rPr>
          <t>FLORES-GUTIERREZ Josue-Fernando:</t>
        </r>
        <r>
          <rPr>
            <sz val="9"/>
            <color indexed="81"/>
            <rFont val="Tahoma"/>
            <family val="2"/>
          </rPr>
          <t xml:space="preserve">
50,0 %
Source: Base Carbone ADEME
Scope 3/ Transport de personnes/ Aerien/ Capacité de 180- 250 sièges/ 
Avion (voyageurs) - 180-250 sièges, trajet de 1000-2000 km / Afficher détails</t>
        </r>
      </text>
    </comment>
    <comment ref="F87" authorId="0" shapeId="0">
      <text>
        <r>
          <rPr>
            <b/>
            <sz val="9"/>
            <color indexed="81"/>
            <rFont val="Tahoma"/>
            <family val="2"/>
          </rPr>
          <t>FLORES-GUTIERREZ Josue-Fernando:</t>
        </r>
        <r>
          <rPr>
            <sz val="9"/>
            <color indexed="81"/>
            <rFont val="Tahoma"/>
            <family val="2"/>
          </rPr>
          <t xml:space="preserve">
Avion (voyageurs) - 180-250 sièges, trajet de 2000-3000 km 
0.209 kgCO2e/passager.km
Source: Base Carbone ADEME
 *Divisé par 1000 pour obtenir tCO2e/passager.km</t>
        </r>
      </text>
    </comment>
    <comment ref="Q87" authorId="0" shapeId="0">
      <text>
        <r>
          <rPr>
            <b/>
            <sz val="9"/>
            <color indexed="81"/>
            <rFont val="Tahoma"/>
            <family val="2"/>
          </rPr>
          <t>FLORES-GUTIERREZ Josue-Fernando:</t>
        </r>
        <r>
          <rPr>
            <sz val="9"/>
            <color indexed="81"/>
            <rFont val="Tahoma"/>
            <family val="2"/>
          </rPr>
          <t xml:space="preserve">
Avion (voyageurs) - 180-250 sièges, trajet de 2000-3000 km 
0.209 kgCO2e/passager.km
Source: Base Carbone ADEME
 *Divisé par 1000 pour obtenir tCO2e/passager.km</t>
        </r>
      </text>
    </comment>
    <comment ref="AB87" authorId="0" shapeId="0">
      <text>
        <r>
          <rPr>
            <b/>
            <sz val="9"/>
            <color indexed="81"/>
            <rFont val="Tahoma"/>
            <family val="2"/>
          </rPr>
          <t>FLORES-GUTIERREZ Josue-Fernando:</t>
        </r>
        <r>
          <rPr>
            <sz val="9"/>
            <color indexed="81"/>
            <rFont val="Tahoma"/>
            <family val="2"/>
          </rPr>
          <t xml:space="preserve">
Avion (voyageurs) - 180-250 sièges, trajet de 2000-3000 km 
0.209 kgCO2e/passager.km
Source: Base Carbone ADEME
 *Divisé par 1000 pour obtenir tCO2e/passager.km</t>
        </r>
      </text>
    </comment>
    <comment ref="AJ87" authorId="0" shapeId="0">
      <text>
        <r>
          <rPr>
            <b/>
            <sz val="9"/>
            <color indexed="81"/>
            <rFont val="Tahoma"/>
            <family val="2"/>
          </rPr>
          <t>FLORES-GUTIERREZ Josue-Fernando:</t>
        </r>
        <r>
          <rPr>
            <sz val="9"/>
            <color indexed="81"/>
            <rFont val="Tahoma"/>
            <family val="2"/>
          </rPr>
          <t xml:space="preserve">
50,0 %
Source: Base Carbone ADEME
Scope 3/ Transport de personnes/ Aerien/ Capacité de  180- 250 sièges/ 
Avion (voyageurs) - 180-250 sièges, trajet de 2000-3000 km / Afficher détails</t>
        </r>
      </text>
    </comment>
    <comment ref="F88" authorId="0" shapeId="0">
      <text>
        <r>
          <rPr>
            <b/>
            <sz val="9"/>
            <color indexed="81"/>
            <rFont val="Tahoma"/>
            <family val="2"/>
          </rPr>
          <t>FLORES-GUTIERREZ Josue-Fernando:</t>
        </r>
        <r>
          <rPr>
            <sz val="9"/>
            <color indexed="81"/>
            <rFont val="Tahoma"/>
            <family val="2"/>
          </rPr>
          <t xml:space="preserve">
Avion (voyageurs) - plus de 250 sièges, trajet de 3000-4000 km 
0.251 kgCO2e/passager.km
Source: Base Carbone ADEME
 *Divisé par 1000 pour obtenir tCO2e/passager.km</t>
        </r>
      </text>
    </comment>
    <comment ref="Q88" authorId="0" shapeId="0">
      <text>
        <r>
          <rPr>
            <b/>
            <sz val="9"/>
            <color indexed="81"/>
            <rFont val="Tahoma"/>
            <family val="2"/>
          </rPr>
          <t>FLORES-GUTIERREZ Josue-Fernando:</t>
        </r>
        <r>
          <rPr>
            <sz val="9"/>
            <color indexed="81"/>
            <rFont val="Tahoma"/>
            <family val="2"/>
          </rPr>
          <t xml:space="preserve">
Avion (voyageurs) - plus de 250 sièges, trajet de 3000-4000 km 
0.251 kgCO2e/passager.km
Source: Base Carbone ADEME
 *Divisé par 1000 pour obtenir tCO2e/passager.km</t>
        </r>
      </text>
    </comment>
    <comment ref="AB88" authorId="0" shapeId="0">
      <text>
        <r>
          <rPr>
            <b/>
            <sz val="9"/>
            <color indexed="81"/>
            <rFont val="Tahoma"/>
            <family val="2"/>
          </rPr>
          <t>FLORES-GUTIERREZ Josue-Fernando:</t>
        </r>
        <r>
          <rPr>
            <sz val="9"/>
            <color indexed="81"/>
            <rFont val="Tahoma"/>
            <family val="2"/>
          </rPr>
          <t xml:space="preserve">
Avion (voyageurs) - plus de 250 sièges, trajet de 3000-4000 km 
0.251 kgCO2e/passager.km
Source: Base Carbone ADEME
 *Divisé par 1000 pour obtenir tCO2e/passager.km</t>
        </r>
      </text>
    </comment>
    <comment ref="AJ88" authorId="0" shapeId="0">
      <text>
        <r>
          <rPr>
            <b/>
            <sz val="9"/>
            <color indexed="81"/>
            <rFont val="Tahoma"/>
            <family val="2"/>
          </rPr>
          <t>FLORES-GUTIERREZ Josue-Fernando:</t>
        </r>
        <r>
          <rPr>
            <sz val="9"/>
            <color indexed="81"/>
            <rFont val="Tahoma"/>
            <family val="2"/>
          </rPr>
          <t xml:space="preserve">
50,0 %
Source: Base Carbone ADEME
Scope 3/ Transport de personnes/ Aerien/ Capacité de plus de 250 sièges/ 
Avion (voyageurs) - plus de 250 sièges, trajet de 3000 - 4000 km / Afficher détails</t>
        </r>
      </text>
    </comment>
    <comment ref="F89" authorId="0" shapeId="0">
      <text>
        <r>
          <rPr>
            <b/>
            <sz val="9"/>
            <color indexed="81"/>
            <rFont val="Tahoma"/>
            <family val="2"/>
          </rPr>
          <t>FLORES-GUTIERREZ Josue-Fernando:</t>
        </r>
        <r>
          <rPr>
            <sz val="9"/>
            <color indexed="81"/>
            <rFont val="Tahoma"/>
            <family val="2"/>
          </rPr>
          <t xml:space="preserve">
Avion (voyageurs) - plus de 250 sièges, trajet de 4000-5000 km 
0.258 kgCO2e/passager.km
Source: Base Carbone ADEME
 *Divisé par 1000 pour obtenir tCO2e/passager.km</t>
        </r>
      </text>
    </comment>
    <comment ref="Q89" authorId="0" shapeId="0">
      <text>
        <r>
          <rPr>
            <b/>
            <sz val="9"/>
            <color indexed="81"/>
            <rFont val="Tahoma"/>
            <family val="2"/>
          </rPr>
          <t>FLORES-GUTIERREZ Josue-Fernando:</t>
        </r>
        <r>
          <rPr>
            <sz val="9"/>
            <color indexed="81"/>
            <rFont val="Tahoma"/>
            <family val="2"/>
          </rPr>
          <t xml:space="preserve">
Avion (voyageurs) - plus de 250 sièges, trajet de 4000-5000 km 
0.258 kgCO2e/passager.km
Source: Base Carbone ADEME
 *Divisé par 1000 pour obtenir tCO2e/passager.km</t>
        </r>
      </text>
    </comment>
    <comment ref="AB89" authorId="0" shapeId="0">
      <text>
        <r>
          <rPr>
            <b/>
            <sz val="9"/>
            <color indexed="81"/>
            <rFont val="Tahoma"/>
            <family val="2"/>
          </rPr>
          <t>FLORES-GUTIERREZ Josue-Fernando:</t>
        </r>
        <r>
          <rPr>
            <sz val="9"/>
            <color indexed="81"/>
            <rFont val="Tahoma"/>
            <family val="2"/>
          </rPr>
          <t xml:space="preserve">
Avion (voyageurs) - plus de 250 sièges, trajet de 4000-5000 km 
0.258 kgCO2e/passager.km
Source: Base Carbone ADEME
 *Divisé par 1000 pour obtenir tCO2e/passager.km</t>
        </r>
      </text>
    </comment>
    <comment ref="AJ89" authorId="0" shapeId="0">
      <text>
        <r>
          <rPr>
            <b/>
            <sz val="9"/>
            <color indexed="81"/>
            <rFont val="Tahoma"/>
            <family val="2"/>
          </rPr>
          <t>FLORES-GUTIERREZ Josue-Fernando:</t>
        </r>
        <r>
          <rPr>
            <sz val="9"/>
            <color indexed="81"/>
            <rFont val="Tahoma"/>
            <family val="2"/>
          </rPr>
          <t xml:space="preserve">
50,0 %
Source: Base Carbone ADEME
Scope 3/ Transport de personnes/ Aerien/ Capacité de plus de 250 sièges/ 
Avion (voyageurs) - plus de 250 sièges, trajet de 4000 - 5000 km / Afficher détails</t>
        </r>
      </text>
    </comment>
    <comment ref="F90" authorId="0" shapeId="0">
      <text>
        <r>
          <rPr>
            <b/>
            <sz val="9"/>
            <color indexed="81"/>
            <rFont val="Tahoma"/>
            <family val="2"/>
          </rPr>
          <t>FLORES-GUTIERREZ Josue-Fernando:</t>
        </r>
        <r>
          <rPr>
            <sz val="9"/>
            <color indexed="81"/>
            <rFont val="Tahoma"/>
            <family val="2"/>
          </rPr>
          <t xml:space="preserve">
Avion (voyageurs) -  plus de 250 sièges, trajet 5000 - 6000 km 
0.223 kgCO2e/passager.km
Source: Base Carbone ADEME
 *Divisé par 1000 pour obtenir tonnes de CO2e</t>
        </r>
      </text>
    </comment>
    <comment ref="Q90" authorId="0" shapeId="0">
      <text>
        <r>
          <rPr>
            <b/>
            <sz val="9"/>
            <color indexed="81"/>
            <rFont val="Tahoma"/>
            <family val="2"/>
          </rPr>
          <t>FLORES-GUTIERREZ Josue-Fernando:</t>
        </r>
        <r>
          <rPr>
            <sz val="9"/>
            <color indexed="81"/>
            <rFont val="Tahoma"/>
            <family val="2"/>
          </rPr>
          <t xml:space="preserve">
Avion (voyageurs) -  plus de 250 sièges, trajet 5000 - 6000 km 
0.223 kgCO2e/passager.km
Source: Base Carbone ADEME
 *Divisé par 1000 pour obtenir tonnes de CO2e</t>
        </r>
      </text>
    </comment>
    <comment ref="AB90" authorId="0" shapeId="0">
      <text>
        <r>
          <rPr>
            <b/>
            <sz val="9"/>
            <color indexed="81"/>
            <rFont val="Tahoma"/>
            <family val="2"/>
          </rPr>
          <t>FLORES-GUTIERREZ Josue-Fernando:</t>
        </r>
        <r>
          <rPr>
            <sz val="9"/>
            <color indexed="81"/>
            <rFont val="Tahoma"/>
            <family val="2"/>
          </rPr>
          <t xml:space="preserve">
Avion (voyageurs) -  plus de 250 sièges, trajet 5000 - 6000 km 
0.223 kgCO2e/passager.km
Source: Base Carbone ADEME
 *Divisé par 1000 pour obtenir tonnes de CO2e</t>
        </r>
      </text>
    </comment>
    <comment ref="AJ90" authorId="0" shapeId="0">
      <text>
        <r>
          <rPr>
            <b/>
            <sz val="9"/>
            <color indexed="81"/>
            <rFont val="Tahoma"/>
            <family val="2"/>
          </rPr>
          <t>FLORES-GUTIERREZ Josue-Fernando:</t>
        </r>
        <r>
          <rPr>
            <sz val="9"/>
            <color indexed="81"/>
            <rFont val="Tahoma"/>
            <family val="2"/>
          </rPr>
          <t xml:space="preserve">
50,0 %
Source: Base Carbone ADEME
Scope 3/ Transport de personnes/ Aerien/ Capacité de plus de 250 sièges/ 
Avion (voyageurs) - plus de 250 sièges, trajet de 5000 - 6000 km / Afficher détails</t>
        </r>
      </text>
    </comment>
    <comment ref="F91" authorId="0" shapeId="0">
      <text>
        <r>
          <rPr>
            <b/>
            <sz val="9"/>
            <color indexed="81"/>
            <rFont val="Tahoma"/>
            <family val="2"/>
          </rPr>
          <t>FLORES-GUTIERREZ Josue-Fernando:</t>
        </r>
        <r>
          <rPr>
            <sz val="9"/>
            <color indexed="81"/>
            <rFont val="Tahoma"/>
            <family val="2"/>
          </rPr>
          <t xml:space="preserve">
Avion (voyageurs) -  plus de 250 sièges, trajet de 6000-7000 km 
0.209 kgCO2e/passager.km
Source: Base Carbone ADEME
 *Divisé par 1000 pour obtenir tCO2e/passager.km</t>
        </r>
      </text>
    </comment>
    <comment ref="Q91" authorId="0" shapeId="0">
      <text>
        <r>
          <rPr>
            <b/>
            <sz val="9"/>
            <color indexed="81"/>
            <rFont val="Tahoma"/>
            <family val="2"/>
          </rPr>
          <t>FLORES-GUTIERREZ Josue-Fernando:</t>
        </r>
        <r>
          <rPr>
            <sz val="9"/>
            <color indexed="81"/>
            <rFont val="Tahoma"/>
            <family val="2"/>
          </rPr>
          <t xml:space="preserve">
Avion (voyageurs) -  plus de 250 sièges, trajet de 6000-7000 km 
0.209 kgCO2e/passager.km
Source: Base Carbone ADEME
 *Divisé par 1000 pour obtenir tCO2e/passager.km</t>
        </r>
      </text>
    </comment>
    <comment ref="AB91" authorId="0" shapeId="0">
      <text>
        <r>
          <rPr>
            <b/>
            <sz val="9"/>
            <color indexed="81"/>
            <rFont val="Tahoma"/>
            <family val="2"/>
          </rPr>
          <t>FLORES-GUTIERREZ Josue-Fernando:</t>
        </r>
        <r>
          <rPr>
            <sz val="9"/>
            <color indexed="81"/>
            <rFont val="Tahoma"/>
            <family val="2"/>
          </rPr>
          <t xml:space="preserve">
Avion (voyageurs) -  plus de 250 sièges, trajet de 6000-7000 km 
0.209 kgCO2e/passager.km
Source: Base Carbone ADEME
 *Divisé par 1000 pour obtenir tCO2e/passager.km</t>
        </r>
      </text>
    </comment>
    <comment ref="AJ91" authorId="0" shapeId="0">
      <text>
        <r>
          <rPr>
            <b/>
            <sz val="9"/>
            <color indexed="81"/>
            <rFont val="Tahoma"/>
            <family val="2"/>
          </rPr>
          <t>FLORES-GUTIERREZ Josue-Fernando:</t>
        </r>
        <r>
          <rPr>
            <sz val="9"/>
            <color indexed="81"/>
            <rFont val="Tahoma"/>
            <family val="2"/>
          </rPr>
          <t xml:space="preserve">
50,0 %
Source: Base Carbone ADEME
Scope 3/ Transport de personnes/ Aerien/ Capacité de plus de 250 sièges/ 
Avion (voyageurs) - plus de 250 sièges, trajet de 6000 - 7000 km / Afficher détails</t>
        </r>
      </text>
    </comment>
    <comment ref="F92" authorId="0" shapeId="0">
      <text>
        <r>
          <rPr>
            <b/>
            <sz val="9"/>
            <color indexed="81"/>
            <rFont val="Tahoma"/>
            <family val="2"/>
          </rPr>
          <t>FLORES-GUTIERREZ Josue-Fernando:</t>
        </r>
        <r>
          <rPr>
            <sz val="9"/>
            <color indexed="81"/>
            <rFont val="Tahoma"/>
            <family val="2"/>
          </rPr>
          <t xml:space="preserve">
Avion (voyageurs) -  plus de 250 sièges, trajet de 7000-8000 km 
0.209 kgCO2e/passager.km
Source: Base Carbone ADEME
 *Divisé par 1000 pour obtenir tCO2e/passager.km</t>
        </r>
      </text>
    </comment>
    <comment ref="Q92" authorId="0" shapeId="0">
      <text>
        <r>
          <rPr>
            <b/>
            <sz val="9"/>
            <color indexed="81"/>
            <rFont val="Tahoma"/>
            <family val="2"/>
          </rPr>
          <t>FLORES-GUTIERREZ Josue-Fernando:</t>
        </r>
        <r>
          <rPr>
            <sz val="9"/>
            <color indexed="81"/>
            <rFont val="Tahoma"/>
            <family val="2"/>
          </rPr>
          <t xml:space="preserve">
Avion (voyageurs) -  plus de 250 sièges, trajet de 7000-8000 km 
0.209 kgCO2e/passager.km
Source: Base Carbone ADEME
 *Divisé par 1000 pour obtenir tCO2e/passager.km</t>
        </r>
      </text>
    </comment>
    <comment ref="AB92" authorId="0" shapeId="0">
      <text>
        <r>
          <rPr>
            <b/>
            <sz val="9"/>
            <color indexed="81"/>
            <rFont val="Tahoma"/>
            <family val="2"/>
          </rPr>
          <t>FLORES-GUTIERREZ Josue-Fernando:</t>
        </r>
        <r>
          <rPr>
            <sz val="9"/>
            <color indexed="81"/>
            <rFont val="Tahoma"/>
            <family val="2"/>
          </rPr>
          <t xml:space="preserve">
Avion (voyageurs) -  plus de 250 sièges, trajet de 7000-8000 km 
0.209 kgCO2e/passager.km
Source: Base Carbone ADEME
 *Divisé par 1000 pour obtenir tCO2e/passager.km</t>
        </r>
      </text>
    </comment>
    <comment ref="AJ92" authorId="0" shapeId="0">
      <text>
        <r>
          <rPr>
            <b/>
            <sz val="9"/>
            <color indexed="81"/>
            <rFont val="Tahoma"/>
            <family val="2"/>
          </rPr>
          <t>FLORES-GUTIERREZ Josue-Fernando:</t>
        </r>
        <r>
          <rPr>
            <sz val="9"/>
            <color indexed="81"/>
            <rFont val="Tahoma"/>
            <family val="2"/>
          </rPr>
          <t xml:space="preserve">
50,0 %
Source: Base Carbone ADEME
Scope 3/ Transport de personnes/ Aerien/ Capacité de plus de 250 sièges/ 
Avion (voyageurs) - plus de 250 sièges, trajet de 7000 - 8000 km / Afficher détails</t>
        </r>
      </text>
    </comment>
    <comment ref="F93" authorId="0" shapeId="0">
      <text>
        <r>
          <rPr>
            <b/>
            <sz val="9"/>
            <color indexed="81"/>
            <rFont val="Tahoma"/>
            <family val="2"/>
          </rPr>
          <t>FLORES-GUTIERREZ Josue-Fernando:</t>
        </r>
        <r>
          <rPr>
            <sz val="9"/>
            <color indexed="81"/>
            <rFont val="Tahoma"/>
            <family val="2"/>
          </rPr>
          <t xml:space="preserve">
Avion (voyageurs) - plus de 250 sièges, trajet de 8000-9000 km 
0.23 kgCO2e/passager.km
Source: Base Carbone ADEME
 *Divisé par 1000 pour obtenir tCO2e/passager.km</t>
        </r>
      </text>
    </comment>
    <comment ref="Q93" authorId="0" shapeId="0">
      <text>
        <r>
          <rPr>
            <b/>
            <sz val="9"/>
            <color indexed="81"/>
            <rFont val="Tahoma"/>
            <family val="2"/>
          </rPr>
          <t>FLORES-GUTIERREZ Josue-Fernando:</t>
        </r>
        <r>
          <rPr>
            <sz val="9"/>
            <color indexed="81"/>
            <rFont val="Tahoma"/>
            <family val="2"/>
          </rPr>
          <t xml:space="preserve">
Avion (voyageurs) - plus de 250 sièges, trajet de 8000-9000 km 
0.23 kgCO2e/passager.km
Source: Base Carbone ADEME
 *Divisé par 1000 pour obtenir tCO2e/passager.km</t>
        </r>
      </text>
    </comment>
    <comment ref="AB93" authorId="0" shapeId="0">
      <text>
        <r>
          <rPr>
            <b/>
            <sz val="9"/>
            <color indexed="81"/>
            <rFont val="Tahoma"/>
            <family val="2"/>
          </rPr>
          <t>FLORES-GUTIERREZ Josue-Fernando:</t>
        </r>
        <r>
          <rPr>
            <sz val="9"/>
            <color indexed="81"/>
            <rFont val="Tahoma"/>
            <family val="2"/>
          </rPr>
          <t xml:space="preserve">
Avion (voyageurs) - plus de 250 sièges, trajet de 8000-9000 km 
0.23 kgCO2e/passager.km
Source: Base Carbone ADEME
 *Divisé par 1000 pour obtenir tCO2e/passager.km</t>
        </r>
      </text>
    </comment>
    <comment ref="AJ93" authorId="0" shapeId="0">
      <text>
        <r>
          <rPr>
            <b/>
            <sz val="9"/>
            <color indexed="81"/>
            <rFont val="Tahoma"/>
            <family val="2"/>
          </rPr>
          <t>FLORES-GUTIERREZ Josue-Fernando:</t>
        </r>
        <r>
          <rPr>
            <sz val="9"/>
            <color indexed="81"/>
            <rFont val="Tahoma"/>
            <family val="2"/>
          </rPr>
          <t xml:space="preserve">
50,0 %
Source: Base Carbone ADEME
Scope 3/ Transport de personnes/ Aerien/ Capacité de plus de 250 sièges/ Avion (voyageurs) - plus de 250 sièges, trajet de 8000 - 9000 km / Afficher détails</t>
        </r>
      </text>
    </comment>
    <comment ref="F94" authorId="0" shapeId="0">
      <text>
        <r>
          <rPr>
            <b/>
            <sz val="9"/>
            <color indexed="81"/>
            <rFont val="Tahoma"/>
            <family val="2"/>
          </rPr>
          <t>FLORES-GUTIERREZ Josue-Fernando:</t>
        </r>
        <r>
          <rPr>
            <sz val="9"/>
            <color indexed="81"/>
            <rFont val="Tahoma"/>
            <family val="2"/>
          </rPr>
          <t xml:space="preserve">
Avion (voyageurs) - plus de 250 sièges, trajet de 9000-10000 km 
0.223 kgCO2e/passager.km
Source: Base Carbone ADEME
 *Divisé par 1000 pour obtenir tCO2e/passager.km</t>
        </r>
      </text>
    </comment>
    <comment ref="Q94" authorId="0" shapeId="0">
      <text>
        <r>
          <rPr>
            <b/>
            <sz val="9"/>
            <color indexed="81"/>
            <rFont val="Tahoma"/>
            <family val="2"/>
          </rPr>
          <t>FLORES-GUTIERREZ Josue-Fernando:</t>
        </r>
        <r>
          <rPr>
            <sz val="9"/>
            <color indexed="81"/>
            <rFont val="Tahoma"/>
            <family val="2"/>
          </rPr>
          <t xml:space="preserve">
Avion (voyageurs) - plus de 250 sièges, trajet de 9000-10000 km 
0.223 kgCO2e/passager.km
Source: Base Carbone ADEME
 *Divisé par 1000 pour obtenir tCO2e/passager.km</t>
        </r>
      </text>
    </comment>
    <comment ref="AB94" authorId="0" shapeId="0">
      <text>
        <r>
          <rPr>
            <b/>
            <sz val="9"/>
            <color indexed="81"/>
            <rFont val="Tahoma"/>
            <family val="2"/>
          </rPr>
          <t>FLORES-GUTIERREZ Josue-Fernando:</t>
        </r>
        <r>
          <rPr>
            <sz val="9"/>
            <color indexed="81"/>
            <rFont val="Tahoma"/>
            <family val="2"/>
          </rPr>
          <t xml:space="preserve">
Avion (voyageurs) - plus de 250 sièges, trajet de 9000-10000 km 
0.223 kgCO2e/passager.km
Source: Base Carbone ADEME
 *Divisé par 1000 pour obtenir tCO2e/passager.km</t>
        </r>
      </text>
    </comment>
    <comment ref="AJ94" authorId="0" shapeId="0">
      <text>
        <r>
          <rPr>
            <b/>
            <sz val="9"/>
            <color indexed="81"/>
            <rFont val="Tahoma"/>
            <family val="2"/>
          </rPr>
          <t>FLORES-GUTIERREZ Josue-Fernando:</t>
        </r>
        <r>
          <rPr>
            <sz val="9"/>
            <color indexed="81"/>
            <rFont val="Tahoma"/>
            <family val="2"/>
          </rPr>
          <t xml:space="preserve">
50,0 %
Source: Base Carbone ADEME
Scope 3/ Transport de personnes/ Aerien/ Capacité de plus de 250 sièges/ 
Avion (voyageurs) - plus de 250 sièges, trajet de 9000 - 10000 km / Afficher détails</t>
        </r>
      </text>
    </comment>
    <comment ref="F95" authorId="0" shapeId="0">
      <text>
        <r>
          <rPr>
            <b/>
            <sz val="9"/>
            <color indexed="81"/>
            <rFont val="Tahoma"/>
            <family val="2"/>
          </rPr>
          <t>FLORES-GUTIERREZ Josue-Fernando:</t>
        </r>
        <r>
          <rPr>
            <sz val="9"/>
            <color indexed="81"/>
            <rFont val="Tahoma"/>
            <family val="2"/>
          </rPr>
          <t xml:space="preserve">
Avion (voyageurs) -  plus de 250 sièges, trajet 10000 - 11000 km 
0.216 kgCO2e/passager.km
Source: Base Carbone ADEME
 *Divisé par 1000 pour obtenir tonnes de CO2e</t>
        </r>
      </text>
    </comment>
    <comment ref="Q95" authorId="0" shapeId="0">
      <text>
        <r>
          <rPr>
            <b/>
            <sz val="9"/>
            <color indexed="81"/>
            <rFont val="Tahoma"/>
            <family val="2"/>
          </rPr>
          <t>FLORES-GUTIERREZ Josue-Fernando:</t>
        </r>
        <r>
          <rPr>
            <sz val="9"/>
            <color indexed="81"/>
            <rFont val="Tahoma"/>
            <family val="2"/>
          </rPr>
          <t xml:space="preserve">
Avion (voyageurs) -  plus de 250 sièges, trajet 10000 - 11000 km 
0.216 kgCO2e/passager.km
Source: Base Carbone ADEME
 *Divisé par 1000 pour obtenir tonnes de CO2e</t>
        </r>
      </text>
    </comment>
    <comment ref="AB95" authorId="0" shapeId="0">
      <text>
        <r>
          <rPr>
            <b/>
            <sz val="9"/>
            <color indexed="81"/>
            <rFont val="Tahoma"/>
            <family val="2"/>
          </rPr>
          <t>FLORES-GUTIERREZ Josue-Fernando:</t>
        </r>
        <r>
          <rPr>
            <sz val="9"/>
            <color indexed="81"/>
            <rFont val="Tahoma"/>
            <family val="2"/>
          </rPr>
          <t xml:space="preserve">
Avion (voyageurs) -  plus de 250 sièges, trajet 10000 - 11000 km 
0.216 kgCO2e/passager.km
Source: Base Carbone ADEME
 *Divisé par 1000 pour obtenir tonnes de CO2e</t>
        </r>
      </text>
    </comment>
    <comment ref="AJ95" authorId="0" shapeId="0">
      <text>
        <r>
          <rPr>
            <b/>
            <sz val="9"/>
            <color indexed="81"/>
            <rFont val="Tahoma"/>
            <family val="2"/>
          </rPr>
          <t>FLORES-GUTIERREZ Josue-Fernando:</t>
        </r>
        <r>
          <rPr>
            <sz val="9"/>
            <color indexed="81"/>
            <rFont val="Tahoma"/>
            <family val="2"/>
          </rPr>
          <t xml:space="preserve">
50,0 %
Source: Base Carbone ADEME
Scope 3/ Transport de personnes/ Aerien/ Capacité de plus de 250 sièges/ 
Avion (voyageurs) - plus de 250 sièges, trajet de 10000 - 11000 km / Afficher détails</t>
        </r>
      </text>
    </comment>
    <comment ref="F96" authorId="0" shapeId="0">
      <text>
        <r>
          <rPr>
            <b/>
            <sz val="9"/>
            <color indexed="81"/>
            <rFont val="Tahoma"/>
            <family val="2"/>
          </rPr>
          <t>FLORES-GUTIERREZ Josue-Fernando:</t>
        </r>
        <r>
          <rPr>
            <sz val="9"/>
            <color indexed="81"/>
            <rFont val="Tahoma"/>
            <family val="2"/>
          </rPr>
          <t xml:space="preserve">
Avion (voyageurs) -  plus de 250 sièges, trajet &gt; 11000 km 
0.223 kgCO2e/passager.km
Source: Base Carbone ADEME
 *Divisé par 1000 pour obtenir tonnes de CO2e</t>
        </r>
      </text>
    </comment>
    <comment ref="Q96" authorId="0" shapeId="0">
      <text>
        <r>
          <rPr>
            <b/>
            <sz val="9"/>
            <color indexed="81"/>
            <rFont val="Tahoma"/>
            <family val="2"/>
          </rPr>
          <t>FLORES-GUTIERREZ Josue-Fernando:</t>
        </r>
        <r>
          <rPr>
            <sz val="9"/>
            <color indexed="81"/>
            <rFont val="Tahoma"/>
            <family val="2"/>
          </rPr>
          <t xml:space="preserve">
Avion (voyageurs) -  plus de 250 sièges, trajet &gt; 11000 km 
0.223 kgCO2e/passager.km
Source: Base Carbone ADEME
 *Divisé par 1000 pour obtenir tonnes de CO2e</t>
        </r>
      </text>
    </comment>
    <comment ref="AB96" authorId="0" shapeId="0">
      <text>
        <r>
          <rPr>
            <b/>
            <sz val="9"/>
            <color indexed="81"/>
            <rFont val="Tahoma"/>
            <family val="2"/>
          </rPr>
          <t>FLORES-GUTIERREZ Josue-Fernando:</t>
        </r>
        <r>
          <rPr>
            <sz val="9"/>
            <color indexed="81"/>
            <rFont val="Tahoma"/>
            <family val="2"/>
          </rPr>
          <t xml:space="preserve">
Avion (voyageurs) -  plus de 250 sièges, trajet &gt; 11000 km 
0.223 kgCO2e/passager.km
Source: Base Carbone ADEME
 *Divisé par 1000 pour obtenir tonnes de CO2e</t>
        </r>
      </text>
    </comment>
    <comment ref="AJ96" authorId="0" shapeId="0">
      <text>
        <r>
          <rPr>
            <b/>
            <sz val="9"/>
            <color indexed="81"/>
            <rFont val="Tahoma"/>
            <family val="2"/>
          </rPr>
          <t>FLORES-GUTIERREZ Josue-Fernando:</t>
        </r>
        <r>
          <rPr>
            <sz val="9"/>
            <color indexed="81"/>
            <rFont val="Tahoma"/>
            <family val="2"/>
          </rPr>
          <t xml:space="preserve">
50,0 %
Source: Base Carbone ADEME
Scope 3/ Transport de personnes/ Aerien/ Capacité de plus de 250 sièges/ Avion (voyageurs) - plus de 250 sièges, trajet  &gt; 11000 km / Afficher détails</t>
        </r>
      </text>
    </comment>
    <comment ref="E97" authorId="2" shapeId="0">
      <text>
        <r>
          <rPr>
            <b/>
            <sz val="10"/>
            <color indexed="81"/>
            <rFont val="Tahoma"/>
            <family val="2"/>
          </rPr>
          <t>NG:</t>
        </r>
        <r>
          <rPr>
            <sz val="10"/>
            <color indexed="81"/>
            <rFont val="Tahoma"/>
            <family val="2"/>
          </rPr>
          <t xml:space="preserve">
source : Base carbone : déplacements, avion plus de 250 sièges, 3000-4000 km - facteur d'émission (facteur d'émission moyen)  </t>
        </r>
      </text>
    </comment>
    <comment ref="F97" authorId="0" shapeId="0">
      <text>
        <r>
          <rPr>
            <b/>
            <sz val="9"/>
            <color indexed="81"/>
            <rFont val="Tahoma"/>
            <family val="2"/>
          </rPr>
          <t>FLORES-GUTIERREZ Josue-Fernando:</t>
        </r>
        <r>
          <rPr>
            <sz val="9"/>
            <color indexed="81"/>
            <rFont val="Tahoma"/>
            <family val="2"/>
          </rPr>
          <t xml:space="preserve">
Avion (voyageurs) - plus de 250 sièges, trajet de 3000-4000 km 
0.251 kgCO2e/passager.km
Source: Base Carbone ADEME
 *Divisé par 1000 pour obtenir tCO2e/passager.km</t>
        </r>
      </text>
    </comment>
    <comment ref="M97" authorId="0" shapeId="0">
      <text>
        <r>
          <rPr>
            <b/>
            <sz val="9"/>
            <color indexed="81"/>
            <rFont val="Tahoma"/>
            <family val="2"/>
          </rPr>
          <t>FLORES-GUTIERREZ Josue-Fernando:</t>
        </r>
        <r>
          <rPr>
            <sz val="9"/>
            <color indexed="81"/>
            <rFont val="Tahoma"/>
            <family val="2"/>
          </rPr>
          <t xml:space="preserve">
50,0 %
Source: Base Carbone ADEME
Scope 3/ Transport de personnes/ Aerien/ Capacité de plus de 250 sièges/ 
Avion (voyageurs) - plus de 250 sièges, trajet de 3000 - 4000 km / Afficher détails</t>
        </r>
      </text>
    </comment>
    <comment ref="P97" authorId="1" shapeId="0">
      <text>
        <r>
          <rPr>
            <b/>
            <sz val="9"/>
            <color indexed="81"/>
            <rFont val="Tahoma"/>
            <family val="2"/>
          </rPr>
          <t>LETANG Kristell:</t>
        </r>
        <r>
          <rPr>
            <sz val="9"/>
            <color indexed="81"/>
            <rFont val="Tahoma"/>
            <family val="2"/>
          </rPr>
          <t xml:space="preserve">
Avion plus de 250 sièges trajet de 3000 à 4000 km
KgCO2e/passager.Km
Divisé par 1000 pour obtenir des tonnes</t>
        </r>
      </text>
    </comment>
    <comment ref="Q97" authorId="0" shapeId="0">
      <text>
        <r>
          <rPr>
            <b/>
            <sz val="9"/>
            <color indexed="81"/>
            <rFont val="Tahoma"/>
            <family val="2"/>
          </rPr>
          <t>FLORES-GUTIERREZ Josue-Fernando:</t>
        </r>
        <r>
          <rPr>
            <sz val="9"/>
            <color indexed="81"/>
            <rFont val="Tahoma"/>
            <family val="2"/>
          </rPr>
          <t xml:space="preserve">
Avion (voyageurs) - plus de 250 sièges, trajet de 3000-4000 km 
0.251 kgCO2e/passager.km
Source: Base Carbone ADEME
 *Divisé par 1000 pour obtenir tCO2e/passager.km</t>
        </r>
      </text>
    </comment>
    <comment ref="Y97" authorId="0" shapeId="0">
      <text>
        <r>
          <rPr>
            <b/>
            <sz val="9"/>
            <color indexed="81"/>
            <rFont val="Tahoma"/>
            <family val="2"/>
          </rPr>
          <t>FLORES-GUTIERREZ Josue-Fernando:</t>
        </r>
        <r>
          <rPr>
            <sz val="9"/>
            <color indexed="81"/>
            <rFont val="Tahoma"/>
            <family val="2"/>
          </rPr>
          <t xml:space="preserve">
50,0 %
Source: Base Carbone ADEME
Scope 3/ Transport de personnes/ Aerien/ Capacité de plus de 250 sièges/ 
Avion (voyageurs) - plus de 250 sièges, trajet de 3000 - 4000 km / Afficher détails</t>
        </r>
      </text>
    </comment>
    <comment ref="F98" authorId="0" shapeId="0">
      <text>
        <r>
          <rPr>
            <b/>
            <sz val="9"/>
            <color indexed="81"/>
            <rFont val="Tahoma"/>
            <family val="2"/>
          </rPr>
          <t>FLORES-GUTIERREZ Josue-Fernando:</t>
        </r>
        <r>
          <rPr>
            <sz val="9"/>
            <color indexed="81"/>
            <rFont val="Tahoma"/>
            <family val="2"/>
          </rPr>
          <t xml:space="preserve">
Source: Base Carbone ADEME
Voiture particulière - puissance fiscale moyenne, motorisation essence 
0.259 kgCO2e/km
Divisé par 1000 pour obtenir de tonnes</t>
        </r>
      </text>
    </comment>
    <comment ref="Q98" authorId="0" shapeId="0">
      <text>
        <r>
          <rPr>
            <b/>
            <sz val="9"/>
            <color indexed="81"/>
            <rFont val="Tahoma"/>
            <family val="2"/>
          </rPr>
          <t>FLORES-GUTIERREZ Josue-Fernando:</t>
        </r>
        <r>
          <rPr>
            <sz val="9"/>
            <color indexed="81"/>
            <rFont val="Tahoma"/>
            <family val="2"/>
          </rPr>
          <t xml:space="preserve">
Source: Base Carbone ADEME
Voiture particulière - puissance fiscale moyenne, motorisation essence 
0.259 kgCO2e/km
Divisé par 1000 pour obtenir de tonnes</t>
        </r>
      </text>
    </comment>
    <comment ref="AB98" authorId="0" shapeId="0">
      <text>
        <r>
          <rPr>
            <b/>
            <sz val="9"/>
            <color indexed="81"/>
            <rFont val="Tahoma"/>
            <family val="2"/>
          </rPr>
          <t>FLORES-GUTIERREZ Josue-Fernando:</t>
        </r>
        <r>
          <rPr>
            <sz val="9"/>
            <color indexed="81"/>
            <rFont val="Tahoma"/>
            <family val="2"/>
          </rPr>
          <t xml:space="preserve">
Source: Base Carbone ADEME
Voiture particulière - puissance fiscale moyenne, motorisation essence 
0.259 kgCO2e/km
Divisé par 1000 pour obtenir de tonnes</t>
        </r>
      </text>
    </comment>
    <comment ref="AJ98" authorId="0" shapeId="0">
      <text>
        <r>
          <rPr>
            <b/>
            <sz val="9"/>
            <color indexed="81"/>
            <rFont val="Tahoma"/>
            <family val="2"/>
          </rPr>
          <t>FLORES-GUTIERREZ Josue-Fernando:</t>
        </r>
        <r>
          <rPr>
            <sz val="9"/>
            <color indexed="81"/>
            <rFont val="Tahoma"/>
            <family val="2"/>
          </rPr>
          <t xml:space="preserve">
20,0 %
Source: Base Carbone ADEME
Scope 3/ Transport de personnes/ Routier/ Voiture particulière/ Moyenne/ Voiture particulière - puissance fiscale moyenne, motorisation moyenne/ Afficher détails</t>
        </r>
      </text>
    </comment>
    <comment ref="F99" authorId="0" shapeId="0">
      <text>
        <r>
          <rPr>
            <b/>
            <sz val="9"/>
            <color indexed="81"/>
            <rFont val="Tahoma"/>
            <family val="2"/>
          </rPr>
          <t>FLORES-GUTIERREZ Josue-Fernando:</t>
        </r>
        <r>
          <rPr>
            <sz val="9"/>
            <color indexed="81"/>
            <rFont val="Tahoma"/>
            <family val="2"/>
          </rPr>
          <t xml:space="preserve">
Source: Base Carbone ADEME
TGV, Train Grande Vitesse 
3,69e-3 kgCO2e/km
Divisé par 1000 pour obtenir de tonnes</t>
        </r>
      </text>
    </comment>
    <comment ref="Q99" authorId="0" shapeId="0">
      <text>
        <r>
          <rPr>
            <b/>
            <sz val="9"/>
            <color indexed="81"/>
            <rFont val="Tahoma"/>
            <family val="2"/>
          </rPr>
          <t>FLORES-GUTIERREZ Josue-Fernando:</t>
        </r>
        <r>
          <rPr>
            <sz val="9"/>
            <color indexed="81"/>
            <rFont val="Tahoma"/>
            <family val="2"/>
          </rPr>
          <t xml:space="preserve">
Source: Base Carbone ADEME
TGV, Train Grande Vitesse 
3,69e-3 kgCO2e/km
Divisé par 1000 pour obtenir de tonnes</t>
        </r>
      </text>
    </comment>
    <comment ref="AB99" authorId="0" shapeId="0">
      <text>
        <r>
          <rPr>
            <b/>
            <sz val="9"/>
            <color indexed="81"/>
            <rFont val="Tahoma"/>
            <family val="2"/>
          </rPr>
          <t>FLORES-GUTIERREZ Josue-Fernando:</t>
        </r>
        <r>
          <rPr>
            <sz val="9"/>
            <color indexed="81"/>
            <rFont val="Tahoma"/>
            <family val="2"/>
          </rPr>
          <t xml:space="preserve">
Source: Base Carbone ADEME
TGV, Train Grande Vitesse 
3,69e-3 kgCO2e/km
Divisé par 1000 pour obtenir de tonnes</t>
        </r>
      </text>
    </comment>
    <comment ref="AJ99" authorId="0" shapeId="0">
      <text>
        <r>
          <rPr>
            <b/>
            <sz val="9"/>
            <color indexed="81"/>
            <rFont val="Tahoma"/>
            <family val="2"/>
          </rPr>
          <t>FLORES-GUTIERREZ Josue-Fernando:</t>
        </r>
        <r>
          <rPr>
            <sz val="9"/>
            <color indexed="81"/>
            <rFont val="Tahoma"/>
            <family val="2"/>
          </rPr>
          <t xml:space="preserve">
60,0 %
Source: Base Carbone ADEME
Scope 3/ Transport de personnes/ Ferroviaire/ France/ TGV/ TGV, Train Grande Vitesse oiture particulière/ Afficher détails</t>
        </r>
      </text>
    </comment>
    <comment ref="F100" authorId="0" shapeId="0">
      <text>
        <r>
          <rPr>
            <b/>
            <sz val="9"/>
            <color indexed="81"/>
            <rFont val="Tahoma"/>
            <family val="2"/>
          </rPr>
          <t>FLORES-GUTIERREZ Josue-Fernando:</t>
        </r>
        <r>
          <rPr>
            <sz val="9"/>
            <color indexed="81"/>
            <rFont val="Tahoma"/>
            <family val="2"/>
          </rPr>
          <t xml:space="preserve">
Avion (voyageurs) - 180-250 sièges, trajet de 0-1000 km 
0.293 kgCO2e/passager.km
Source: Base Carbone ADEME
 *Divisé par 1000 pour obtenir tCO2e/passager.km</t>
        </r>
      </text>
    </comment>
    <comment ref="Q100" authorId="0" shapeId="0">
      <text>
        <r>
          <rPr>
            <b/>
            <sz val="9"/>
            <color indexed="81"/>
            <rFont val="Tahoma"/>
            <family val="2"/>
          </rPr>
          <t>FLORES-GUTIERREZ Josue-Fernando:</t>
        </r>
        <r>
          <rPr>
            <sz val="9"/>
            <color indexed="81"/>
            <rFont val="Tahoma"/>
            <family val="2"/>
          </rPr>
          <t xml:space="preserve">
Avion (voyageurs) - 180-250 sièges, trajet de 0-1000 km 
0.293 kgCO2e/passager.km
Source: Base Carbone ADEME
 *Divisé par 1000 pour obtenir tCO2e/passager.km</t>
        </r>
      </text>
    </comment>
    <comment ref="AB100" authorId="0" shapeId="0">
      <text>
        <r>
          <rPr>
            <b/>
            <sz val="9"/>
            <color indexed="81"/>
            <rFont val="Tahoma"/>
            <family val="2"/>
          </rPr>
          <t>FLORES-GUTIERREZ Josue-Fernando:</t>
        </r>
        <r>
          <rPr>
            <sz val="9"/>
            <color indexed="81"/>
            <rFont val="Tahoma"/>
            <family val="2"/>
          </rPr>
          <t xml:space="preserve">
Avion (voyageurs) - 180-250 sièges, trajet de 0-1000 km 
0.293 kgCO2e/passager.km
Source: Base Carbone ADEME
 *Divisé par 1000 pour obtenir tCO2e/passager.km</t>
        </r>
      </text>
    </comment>
    <comment ref="AJ100" authorId="0" shapeId="0">
      <text>
        <r>
          <rPr>
            <b/>
            <sz val="9"/>
            <color indexed="81"/>
            <rFont val="Tahoma"/>
            <family val="2"/>
          </rPr>
          <t>FLORES-GUTIERREZ Josue-Fernando:</t>
        </r>
        <r>
          <rPr>
            <sz val="9"/>
            <color indexed="81"/>
            <rFont val="Tahoma"/>
            <family val="2"/>
          </rPr>
          <t xml:space="preserve">
50,0 %
Source: Base Carbone ADEME
Scope 3/ Transport de personnes/ Aerien/ Capacité de  180- 250 sièges/ 
Avion (voyageurs) - 180-250 sièges, trajet de 0-1000 km / Afficher détails
</t>
        </r>
      </text>
    </comment>
    <comment ref="F101" authorId="0" shapeId="0">
      <text>
        <r>
          <rPr>
            <b/>
            <sz val="9"/>
            <color indexed="81"/>
            <rFont val="Tahoma"/>
            <family val="2"/>
          </rPr>
          <t>FLORES-GUTIERREZ Josue-Fernando:</t>
        </r>
        <r>
          <rPr>
            <sz val="9"/>
            <color indexed="81"/>
            <rFont val="Tahoma"/>
            <family val="2"/>
          </rPr>
          <t xml:space="preserve">
Avion (voyageurs) - 180-250 sièges, trajet de 1000-2000 km 
0.216 kgCO2e/passager.km
Source: Base Carbone ADEME
 *Divisé par 1000 pour obtenir CO2e/passager.km</t>
        </r>
      </text>
    </comment>
    <comment ref="Q101" authorId="0" shapeId="0">
      <text>
        <r>
          <rPr>
            <b/>
            <sz val="9"/>
            <color indexed="81"/>
            <rFont val="Tahoma"/>
            <family val="2"/>
          </rPr>
          <t>FLORES-GUTIERREZ Josue-Fernando:</t>
        </r>
        <r>
          <rPr>
            <sz val="9"/>
            <color indexed="81"/>
            <rFont val="Tahoma"/>
            <family val="2"/>
          </rPr>
          <t xml:space="preserve">
Avion (voyageurs) - 180-250 sièges, trajet de 1000-2000 km 
0.216 kgCO2e/passager.km
Source: Base Carbone ADEME
 *Divisé par 1000 pour obtenir CO2e/passager.km</t>
        </r>
      </text>
    </comment>
    <comment ref="AB101" authorId="0" shapeId="0">
      <text>
        <r>
          <rPr>
            <b/>
            <sz val="9"/>
            <color indexed="81"/>
            <rFont val="Tahoma"/>
            <family val="2"/>
          </rPr>
          <t>FLORES-GUTIERREZ Josue-Fernando:</t>
        </r>
        <r>
          <rPr>
            <sz val="9"/>
            <color indexed="81"/>
            <rFont val="Tahoma"/>
            <family val="2"/>
          </rPr>
          <t xml:space="preserve">
Avion (voyageurs) - 180-250 sièges, trajet de 1000-2000 km 
0.216 kgCO2e/passager.km
Source: Base Carbone ADEME
 *Divisé par 1000 pour obtenir CO2e/passager.km</t>
        </r>
      </text>
    </comment>
    <comment ref="AJ101" authorId="0" shapeId="0">
      <text>
        <r>
          <rPr>
            <b/>
            <sz val="9"/>
            <color indexed="81"/>
            <rFont val="Tahoma"/>
            <family val="2"/>
          </rPr>
          <t>FLORES-GUTIERREZ Josue-Fernando:</t>
        </r>
        <r>
          <rPr>
            <sz val="9"/>
            <color indexed="81"/>
            <rFont val="Tahoma"/>
            <family val="2"/>
          </rPr>
          <t xml:space="preserve">
50,0 %
Source: Base Carbone ADEME
Scope 3/ Transport de personnes/ Aerien/ Capacité de 180- 250 sièges/ 
Avion (voyageurs) - 180-250 sièges, trajet de 1000-2000 km / Afficher détails</t>
        </r>
      </text>
    </comment>
    <comment ref="F102" authorId="0" shapeId="0">
      <text>
        <r>
          <rPr>
            <b/>
            <sz val="9"/>
            <color indexed="81"/>
            <rFont val="Tahoma"/>
            <family val="2"/>
          </rPr>
          <t>FLORES-GUTIERREZ Josue-Fernando:</t>
        </r>
        <r>
          <rPr>
            <sz val="9"/>
            <color indexed="81"/>
            <rFont val="Tahoma"/>
            <family val="2"/>
          </rPr>
          <t xml:space="preserve">
Avion (voyageurs) - 180-250 sièges, trajet de 2000-3000 km 
0.209 kgCO2e/passager.km
Source: Base Carbone ADEME
 *Divisé par 1000 pour obtenir tCO2e/passager.km</t>
        </r>
      </text>
    </comment>
    <comment ref="Q102" authorId="0" shapeId="0">
      <text>
        <r>
          <rPr>
            <b/>
            <sz val="9"/>
            <color indexed="81"/>
            <rFont val="Tahoma"/>
            <family val="2"/>
          </rPr>
          <t>FLORES-GUTIERREZ Josue-Fernando:</t>
        </r>
        <r>
          <rPr>
            <sz val="9"/>
            <color indexed="81"/>
            <rFont val="Tahoma"/>
            <family val="2"/>
          </rPr>
          <t xml:space="preserve">
Avion (voyageurs) - 180-250 sièges, trajet de 2000-3000 km 
0.209 kgCO2e/passager.km
Source: Base Carbone ADEME
 *Divisé par 1000 pour obtenir tCO2e/passager.km</t>
        </r>
      </text>
    </comment>
    <comment ref="AB102" authorId="0" shapeId="0">
      <text>
        <r>
          <rPr>
            <b/>
            <sz val="9"/>
            <color indexed="81"/>
            <rFont val="Tahoma"/>
            <family val="2"/>
          </rPr>
          <t>FLORES-GUTIERREZ Josue-Fernando:</t>
        </r>
        <r>
          <rPr>
            <sz val="9"/>
            <color indexed="81"/>
            <rFont val="Tahoma"/>
            <family val="2"/>
          </rPr>
          <t xml:space="preserve">
Avion (voyageurs) - 180-250 sièges, trajet de 2000-3000 km 
0.209 kgCO2e/passager.km
Source: Base Carbone ADEME
 *Divisé par 1000 pour obtenir tCO2e/passager.km</t>
        </r>
      </text>
    </comment>
    <comment ref="AJ102" authorId="0" shapeId="0">
      <text>
        <r>
          <rPr>
            <b/>
            <sz val="9"/>
            <color indexed="81"/>
            <rFont val="Tahoma"/>
            <family val="2"/>
          </rPr>
          <t>FLORES-GUTIERREZ Josue-Fernando:</t>
        </r>
        <r>
          <rPr>
            <sz val="9"/>
            <color indexed="81"/>
            <rFont val="Tahoma"/>
            <family val="2"/>
          </rPr>
          <t xml:space="preserve">
50,0 %
Source: Base Carbone ADEME
Scope 3/ Transport de personnes/ Aerien/ Capacité de  180- 250 sièges/ 
Avion (voyageurs) - 180-250 sièges, trajet de 2000-3000 km / Afficher détails</t>
        </r>
      </text>
    </comment>
    <comment ref="F103" authorId="0" shapeId="0">
      <text>
        <r>
          <rPr>
            <b/>
            <sz val="9"/>
            <color indexed="81"/>
            <rFont val="Tahoma"/>
            <family val="2"/>
          </rPr>
          <t>FLORES-GUTIERREZ Josue-Fernando:</t>
        </r>
        <r>
          <rPr>
            <sz val="9"/>
            <color indexed="81"/>
            <rFont val="Tahoma"/>
            <family val="2"/>
          </rPr>
          <t xml:space="preserve">
Avion (voyageurs) - plus de 250 sièges, trajet de 3000-4000 km 
0.251 kgCO2e/passager.km
Source: Base Carbone ADEME
 *Divisé par 1000 pour obtenir tCO2e/passager.km</t>
        </r>
      </text>
    </comment>
    <comment ref="Q103" authorId="0" shapeId="0">
      <text>
        <r>
          <rPr>
            <b/>
            <sz val="9"/>
            <color indexed="81"/>
            <rFont val="Tahoma"/>
            <family val="2"/>
          </rPr>
          <t>FLORES-GUTIERREZ Josue-Fernando:</t>
        </r>
        <r>
          <rPr>
            <sz val="9"/>
            <color indexed="81"/>
            <rFont val="Tahoma"/>
            <family val="2"/>
          </rPr>
          <t xml:space="preserve">
Avion (voyageurs) - plus de 250 sièges, trajet de 3000-4000 km 
0.251 kgCO2e/passager.km
Source: Base Carbone ADEME
 *Divisé par 1000 pour obtenir tCO2e/passager.km</t>
        </r>
      </text>
    </comment>
    <comment ref="AB103" authorId="0" shapeId="0">
      <text>
        <r>
          <rPr>
            <b/>
            <sz val="9"/>
            <color indexed="81"/>
            <rFont val="Tahoma"/>
            <family val="2"/>
          </rPr>
          <t>FLORES-GUTIERREZ Josue-Fernando:</t>
        </r>
        <r>
          <rPr>
            <sz val="9"/>
            <color indexed="81"/>
            <rFont val="Tahoma"/>
            <family val="2"/>
          </rPr>
          <t xml:space="preserve">
Avion (voyageurs) - plus de 250 sièges, trajet de 3000-4000 km 
0.251 kgCO2e/passager.km
Source: Base Carbone ADEME
 *Divisé par 1000 pour obtenir tCO2e/passager.km</t>
        </r>
      </text>
    </comment>
    <comment ref="AJ103" authorId="0" shapeId="0">
      <text>
        <r>
          <rPr>
            <b/>
            <sz val="9"/>
            <color indexed="81"/>
            <rFont val="Tahoma"/>
            <family val="2"/>
          </rPr>
          <t>FLORES-GUTIERREZ Josue-Fernando:</t>
        </r>
        <r>
          <rPr>
            <sz val="9"/>
            <color indexed="81"/>
            <rFont val="Tahoma"/>
            <family val="2"/>
          </rPr>
          <t xml:space="preserve">
50,0 %
Source: Base Carbone ADEME
Scope 3/ Transport de personnes/ Aerien/ Capacité de plus de 250 sièges/ 
Avion (voyageurs) - plus de 250 sièges, trajet de 3000 - 4000 km / Afficher détails</t>
        </r>
      </text>
    </comment>
    <comment ref="F104" authorId="0" shapeId="0">
      <text>
        <r>
          <rPr>
            <b/>
            <sz val="9"/>
            <color indexed="81"/>
            <rFont val="Tahoma"/>
            <family val="2"/>
          </rPr>
          <t>FLORES-GUTIERREZ Josue-Fernando:</t>
        </r>
        <r>
          <rPr>
            <sz val="9"/>
            <color indexed="81"/>
            <rFont val="Tahoma"/>
            <family val="2"/>
          </rPr>
          <t xml:space="preserve">
Avion (voyageurs) - plus de 250 sièges, trajet de 4000-5000 km 
0.258 kgCO2e/passager.km
Source: Base Carbone ADEME
 *Divisé par 1000 pour obtenir tCO2e/passager.km</t>
        </r>
      </text>
    </comment>
    <comment ref="Q104" authorId="0" shapeId="0">
      <text>
        <r>
          <rPr>
            <b/>
            <sz val="9"/>
            <color indexed="81"/>
            <rFont val="Tahoma"/>
            <family val="2"/>
          </rPr>
          <t>FLORES-GUTIERREZ Josue-Fernando:</t>
        </r>
        <r>
          <rPr>
            <sz val="9"/>
            <color indexed="81"/>
            <rFont val="Tahoma"/>
            <family val="2"/>
          </rPr>
          <t xml:space="preserve">
Avion (voyageurs) - plus de 250 sièges, trajet de 4000-5000 km 
0.258 kgCO2e/passager.km
Source: Base Carbone ADEME
 *Divisé par 1000 pour obtenir tCO2e/passager.km</t>
        </r>
      </text>
    </comment>
    <comment ref="AB104" authorId="0" shapeId="0">
      <text>
        <r>
          <rPr>
            <b/>
            <sz val="9"/>
            <color indexed="81"/>
            <rFont val="Tahoma"/>
            <family val="2"/>
          </rPr>
          <t>FLORES-GUTIERREZ Josue-Fernando:</t>
        </r>
        <r>
          <rPr>
            <sz val="9"/>
            <color indexed="81"/>
            <rFont val="Tahoma"/>
            <family val="2"/>
          </rPr>
          <t xml:space="preserve">
Avion (voyageurs) - plus de 250 sièges, trajet de 4000-5000 km 
0.258 kgCO2e/passager.km
Source: Base Carbone ADEME
 *Divisé par 1000 pour obtenir tCO2e/passager.km</t>
        </r>
      </text>
    </comment>
    <comment ref="AJ104" authorId="0" shapeId="0">
      <text>
        <r>
          <rPr>
            <b/>
            <sz val="9"/>
            <color indexed="81"/>
            <rFont val="Tahoma"/>
            <family val="2"/>
          </rPr>
          <t>FLORES-GUTIERREZ Josue-Fernando:</t>
        </r>
        <r>
          <rPr>
            <sz val="9"/>
            <color indexed="81"/>
            <rFont val="Tahoma"/>
            <family val="2"/>
          </rPr>
          <t xml:space="preserve">
50,0 %
Source: Base Carbone ADEME
Scope 3/ Transport de personnes/ Aerien/ Capacité de plus de 250 sièges/ 
Avion (voyageurs) - plus de 250 sièges, trajet de 4000 - 5000 km / Afficher détails</t>
        </r>
      </text>
    </comment>
    <comment ref="F105" authorId="0" shapeId="0">
      <text>
        <r>
          <rPr>
            <b/>
            <sz val="9"/>
            <color indexed="81"/>
            <rFont val="Tahoma"/>
            <family val="2"/>
          </rPr>
          <t>FLORES-GUTIERREZ Josue-Fernando:</t>
        </r>
        <r>
          <rPr>
            <sz val="9"/>
            <color indexed="81"/>
            <rFont val="Tahoma"/>
            <family val="2"/>
          </rPr>
          <t xml:space="preserve">
Avion (voyageurs) -  plus de 250 sièges, trajet 5000 - 6000 km 
0.223 kgCO2e/passager.km
Source: Base Carbone ADEME
 *Divisé par 1000 pour obtenir tonnes de CO2e</t>
        </r>
      </text>
    </comment>
    <comment ref="Q105" authorId="0" shapeId="0">
      <text>
        <r>
          <rPr>
            <b/>
            <sz val="9"/>
            <color indexed="81"/>
            <rFont val="Tahoma"/>
            <family val="2"/>
          </rPr>
          <t>FLORES-GUTIERREZ Josue-Fernando:</t>
        </r>
        <r>
          <rPr>
            <sz val="9"/>
            <color indexed="81"/>
            <rFont val="Tahoma"/>
            <family val="2"/>
          </rPr>
          <t xml:space="preserve">
Avion (voyageurs) -  plus de 250 sièges, trajet 5000 - 6000 km 
0.223 kgCO2e/passager.km
Source: Base Carbone ADEME
 *Divisé par 1000 pour obtenir tonnes de CO2e</t>
        </r>
      </text>
    </comment>
    <comment ref="AB105" authorId="0" shapeId="0">
      <text>
        <r>
          <rPr>
            <b/>
            <sz val="9"/>
            <color indexed="81"/>
            <rFont val="Tahoma"/>
            <family val="2"/>
          </rPr>
          <t>FLORES-GUTIERREZ Josue-Fernando:</t>
        </r>
        <r>
          <rPr>
            <sz val="9"/>
            <color indexed="81"/>
            <rFont val="Tahoma"/>
            <family val="2"/>
          </rPr>
          <t xml:space="preserve">
Avion (voyageurs) -  plus de 250 sièges, trajet 5000 - 6000 km 
0.223 kgCO2e/passager.km
Source: Base Carbone ADEME
 *Divisé par 1000 pour obtenir tonnes de CO2e</t>
        </r>
      </text>
    </comment>
    <comment ref="AJ105" authorId="0" shapeId="0">
      <text>
        <r>
          <rPr>
            <b/>
            <sz val="9"/>
            <color indexed="81"/>
            <rFont val="Tahoma"/>
            <family val="2"/>
          </rPr>
          <t>FLORES-GUTIERREZ Josue-Fernando:</t>
        </r>
        <r>
          <rPr>
            <sz val="9"/>
            <color indexed="81"/>
            <rFont val="Tahoma"/>
            <family val="2"/>
          </rPr>
          <t xml:space="preserve">
50,0 %
Source: Base Carbone ADEME
Scope 3/ Transport de personnes/ Aerien/ Capacité de plus de 250 sièges/ 
Avion (voyageurs) - plus de 250 sièges, trajet de 5000 - 6000 km / Afficher détails</t>
        </r>
      </text>
    </comment>
    <comment ref="F106" authorId="0" shapeId="0">
      <text>
        <r>
          <rPr>
            <b/>
            <sz val="9"/>
            <color indexed="81"/>
            <rFont val="Tahoma"/>
            <family val="2"/>
          </rPr>
          <t>FLORES-GUTIERREZ Josue-Fernando:</t>
        </r>
        <r>
          <rPr>
            <sz val="9"/>
            <color indexed="81"/>
            <rFont val="Tahoma"/>
            <family val="2"/>
          </rPr>
          <t xml:space="preserve">
Avion (voyageurs) -  plus de 250 sièges, trajet de 6000-7000 km 
0.209 kgCO2e/passager.km
Source: Base Carbone ADEME
 *Divisé par 1000 pour obtenir tCO2e/passager.km</t>
        </r>
      </text>
    </comment>
    <comment ref="Q106" authorId="0" shapeId="0">
      <text>
        <r>
          <rPr>
            <b/>
            <sz val="9"/>
            <color indexed="81"/>
            <rFont val="Tahoma"/>
            <family val="2"/>
          </rPr>
          <t>FLORES-GUTIERREZ Josue-Fernando:</t>
        </r>
        <r>
          <rPr>
            <sz val="9"/>
            <color indexed="81"/>
            <rFont val="Tahoma"/>
            <family val="2"/>
          </rPr>
          <t xml:space="preserve">
Avion (voyageurs) -  plus de 250 sièges, trajet de 6000-7000 km 
0.209 kgCO2e/passager.km
Source: Base Carbone ADEME
 *Divisé par 1000 pour obtenir tCO2e/passager.km</t>
        </r>
      </text>
    </comment>
    <comment ref="AB106" authorId="0" shapeId="0">
      <text>
        <r>
          <rPr>
            <b/>
            <sz val="9"/>
            <color indexed="81"/>
            <rFont val="Tahoma"/>
            <family val="2"/>
          </rPr>
          <t>FLORES-GUTIERREZ Josue-Fernando:</t>
        </r>
        <r>
          <rPr>
            <sz val="9"/>
            <color indexed="81"/>
            <rFont val="Tahoma"/>
            <family val="2"/>
          </rPr>
          <t xml:space="preserve">
Avion (voyageurs) -  plus de 250 sièges, trajet de 6000-7000 km 
0.209 kgCO2e/passager.km
Source: Base Carbone ADEME
 *Divisé par 1000 pour obtenir tCO2e/passager.km</t>
        </r>
      </text>
    </comment>
    <comment ref="AJ106" authorId="0" shapeId="0">
      <text>
        <r>
          <rPr>
            <b/>
            <sz val="9"/>
            <color indexed="81"/>
            <rFont val="Tahoma"/>
            <family val="2"/>
          </rPr>
          <t>FLORES-GUTIERREZ Josue-Fernando:</t>
        </r>
        <r>
          <rPr>
            <sz val="9"/>
            <color indexed="81"/>
            <rFont val="Tahoma"/>
            <family val="2"/>
          </rPr>
          <t xml:space="preserve">
50,0 %
Source: Base Carbone ADEME
Scope 3/ Transport de personnes/ Aerien/ Capacité de plus de 250 sièges/ 
Avion (voyageurs) - plus de 250 sièges, trajet de 6000 - 7000 km / Afficher détails</t>
        </r>
      </text>
    </comment>
    <comment ref="F107" authorId="0" shapeId="0">
      <text>
        <r>
          <rPr>
            <b/>
            <sz val="9"/>
            <color indexed="81"/>
            <rFont val="Tahoma"/>
            <family val="2"/>
          </rPr>
          <t>FLORES-GUTIERREZ Josue-Fernando:</t>
        </r>
        <r>
          <rPr>
            <sz val="9"/>
            <color indexed="81"/>
            <rFont val="Tahoma"/>
            <family val="2"/>
          </rPr>
          <t xml:space="preserve">
Avion (voyageurs) -  plus de 250 sièges, trajet de 7000-8000 km 
0.209 kgCO2e/passager.km
Source: Base Carbone ADEME
 *Divisé par 1000 pour obtenir tCO2e/passager.km</t>
        </r>
      </text>
    </comment>
    <comment ref="Q107" authorId="0" shapeId="0">
      <text>
        <r>
          <rPr>
            <b/>
            <sz val="9"/>
            <color indexed="81"/>
            <rFont val="Tahoma"/>
            <family val="2"/>
          </rPr>
          <t>FLORES-GUTIERREZ Josue-Fernando:</t>
        </r>
        <r>
          <rPr>
            <sz val="9"/>
            <color indexed="81"/>
            <rFont val="Tahoma"/>
            <family val="2"/>
          </rPr>
          <t xml:space="preserve">
Avion (voyageurs) -  plus de 250 sièges, trajet de 7000-8000 km 
0.209 kgCO2e/passager.km
Source: Base Carbone ADEME
 *Divisé par 1000 pour obtenir tCO2e/passager.km</t>
        </r>
      </text>
    </comment>
    <comment ref="AB107" authorId="0" shapeId="0">
      <text>
        <r>
          <rPr>
            <b/>
            <sz val="9"/>
            <color indexed="81"/>
            <rFont val="Tahoma"/>
            <family val="2"/>
          </rPr>
          <t>FLORES-GUTIERREZ Josue-Fernando:</t>
        </r>
        <r>
          <rPr>
            <sz val="9"/>
            <color indexed="81"/>
            <rFont val="Tahoma"/>
            <family val="2"/>
          </rPr>
          <t xml:space="preserve">
Avion (voyageurs) -  plus de 250 sièges, trajet de 7000-8000 km 
0.209 kgCO2e/passager.km
Source: Base Carbone ADEME
 *Divisé par 1000 pour obtenir tCO2e/passager.km</t>
        </r>
      </text>
    </comment>
    <comment ref="AJ107" authorId="0" shapeId="0">
      <text>
        <r>
          <rPr>
            <b/>
            <sz val="9"/>
            <color indexed="81"/>
            <rFont val="Tahoma"/>
            <family val="2"/>
          </rPr>
          <t>FLORES-GUTIERREZ Josue-Fernando:</t>
        </r>
        <r>
          <rPr>
            <sz val="9"/>
            <color indexed="81"/>
            <rFont val="Tahoma"/>
            <family val="2"/>
          </rPr>
          <t xml:space="preserve">
50,0 %
Source: Base Carbone ADEME
Scope 3/ Transport de personnes/ Aerien/ Capacité de plus de 250 sièges/ 
Avion (voyageurs) - plus de 250 sièges, trajet de 7000 - 8000 km / Afficher détails</t>
        </r>
      </text>
    </comment>
    <comment ref="F108" authorId="0" shapeId="0">
      <text>
        <r>
          <rPr>
            <b/>
            <sz val="9"/>
            <color indexed="81"/>
            <rFont val="Tahoma"/>
            <family val="2"/>
          </rPr>
          <t>FLORES-GUTIERREZ Josue-Fernando:</t>
        </r>
        <r>
          <rPr>
            <sz val="9"/>
            <color indexed="81"/>
            <rFont val="Tahoma"/>
            <family val="2"/>
          </rPr>
          <t xml:space="preserve">
Avion (voyageurs) - plus de 250 sièges, trajet de 8000-9000 km 
0.23 kgCO2e/passager.km
Source: Base Carbone ADEME
 *Divisé par 1000 pour obtenir tCO2e/passager.km</t>
        </r>
      </text>
    </comment>
    <comment ref="Q108" authorId="0" shapeId="0">
      <text>
        <r>
          <rPr>
            <b/>
            <sz val="9"/>
            <color indexed="81"/>
            <rFont val="Tahoma"/>
            <family val="2"/>
          </rPr>
          <t>FLORES-GUTIERREZ Josue-Fernando:</t>
        </r>
        <r>
          <rPr>
            <sz val="9"/>
            <color indexed="81"/>
            <rFont val="Tahoma"/>
            <family val="2"/>
          </rPr>
          <t xml:space="preserve">
Avion (voyageurs) - plus de 250 sièges, trajet de 8000-9000 km 
0.23 kgCO2e/passager.km
Source: Base Carbone ADEME
 *Divisé par 1000 pour obtenir tCO2e/passager.km</t>
        </r>
      </text>
    </comment>
    <comment ref="AB108" authorId="0" shapeId="0">
      <text>
        <r>
          <rPr>
            <b/>
            <sz val="9"/>
            <color indexed="81"/>
            <rFont val="Tahoma"/>
            <family val="2"/>
          </rPr>
          <t>FLORES-GUTIERREZ Josue-Fernando:</t>
        </r>
        <r>
          <rPr>
            <sz val="9"/>
            <color indexed="81"/>
            <rFont val="Tahoma"/>
            <family val="2"/>
          </rPr>
          <t xml:space="preserve">
Avion (voyageurs) - plus de 250 sièges, trajet de 8000-9000 km 
0.23 kgCO2e/passager.km
Source: Base Carbone ADEME
 *Divisé par 1000 pour obtenir tCO2e/passager.km</t>
        </r>
      </text>
    </comment>
    <comment ref="AJ108" authorId="0" shapeId="0">
      <text>
        <r>
          <rPr>
            <b/>
            <sz val="9"/>
            <color indexed="81"/>
            <rFont val="Tahoma"/>
            <family val="2"/>
          </rPr>
          <t>FLORES-GUTIERREZ Josue-Fernando:</t>
        </r>
        <r>
          <rPr>
            <sz val="9"/>
            <color indexed="81"/>
            <rFont val="Tahoma"/>
            <family val="2"/>
          </rPr>
          <t xml:space="preserve">
50,0 %
Source: Base Carbone ADEME
Scope 3/ Transport de personnes/ Aerien/ Capacité de plus de 250 sièges/ Avion (voyageurs) - plus de 250 sièges, trajet de 8000 - 9000 km / Afficher détails</t>
        </r>
      </text>
    </comment>
    <comment ref="F109" authorId="0" shapeId="0">
      <text>
        <r>
          <rPr>
            <b/>
            <sz val="9"/>
            <color indexed="81"/>
            <rFont val="Tahoma"/>
            <family val="2"/>
          </rPr>
          <t>FLORES-GUTIERREZ Josue-Fernando:</t>
        </r>
        <r>
          <rPr>
            <sz val="9"/>
            <color indexed="81"/>
            <rFont val="Tahoma"/>
            <family val="2"/>
          </rPr>
          <t xml:space="preserve">
Avion (voyageurs) - plus de 250 sièges, trajet de 9000-10000 km 
0.223 kgCO2e/passager.km
Source: Base Carbone ADEME
 *Divisé par 1000 pour obtenir tCO2e/passager.km</t>
        </r>
      </text>
    </comment>
    <comment ref="Q109" authorId="0" shapeId="0">
      <text>
        <r>
          <rPr>
            <b/>
            <sz val="9"/>
            <color indexed="81"/>
            <rFont val="Tahoma"/>
            <family val="2"/>
          </rPr>
          <t>FLORES-GUTIERREZ Josue-Fernando:</t>
        </r>
        <r>
          <rPr>
            <sz val="9"/>
            <color indexed="81"/>
            <rFont val="Tahoma"/>
            <family val="2"/>
          </rPr>
          <t xml:space="preserve">
Avion (voyageurs) - plus de 250 sièges, trajet de 9000-10000 km 
0.223 kgCO2e/passager.km
Source: Base Carbone ADEME
 *Divisé par 1000 pour obtenir tCO2e/passager.km</t>
        </r>
      </text>
    </comment>
    <comment ref="AB109" authorId="0" shapeId="0">
      <text>
        <r>
          <rPr>
            <b/>
            <sz val="9"/>
            <color indexed="81"/>
            <rFont val="Tahoma"/>
            <family val="2"/>
          </rPr>
          <t>FLORES-GUTIERREZ Josue-Fernando:</t>
        </r>
        <r>
          <rPr>
            <sz val="9"/>
            <color indexed="81"/>
            <rFont val="Tahoma"/>
            <family val="2"/>
          </rPr>
          <t xml:space="preserve">
Avion (voyageurs) - plus de 250 sièges, trajet de 9000-10000 km 
0.223 kgCO2e/passager.km
Source: Base Carbone ADEME
 *Divisé par 1000 pour obtenir tCO2e/passager.km</t>
        </r>
      </text>
    </comment>
    <comment ref="AJ109" authorId="0" shapeId="0">
      <text>
        <r>
          <rPr>
            <b/>
            <sz val="9"/>
            <color indexed="81"/>
            <rFont val="Tahoma"/>
            <family val="2"/>
          </rPr>
          <t>FLORES-GUTIERREZ Josue-Fernando:</t>
        </r>
        <r>
          <rPr>
            <sz val="9"/>
            <color indexed="81"/>
            <rFont val="Tahoma"/>
            <family val="2"/>
          </rPr>
          <t xml:space="preserve">
50,0 %
Source: Base Carbone ADEME
Scope 3/ Transport de personnes/ Aerien/ Capacité de plus de 250 sièges/ 
Avion (voyageurs) - plus de 250 sièges, trajet de 9000 - 10000 km / Afficher détails</t>
        </r>
      </text>
    </comment>
    <comment ref="F110" authorId="0" shapeId="0">
      <text>
        <r>
          <rPr>
            <b/>
            <sz val="9"/>
            <color indexed="81"/>
            <rFont val="Tahoma"/>
            <family val="2"/>
          </rPr>
          <t>FLORES-GUTIERREZ Josue-Fernando:</t>
        </r>
        <r>
          <rPr>
            <sz val="9"/>
            <color indexed="81"/>
            <rFont val="Tahoma"/>
            <family val="2"/>
          </rPr>
          <t xml:space="preserve">
Avion (voyageurs) -  plus de 250 sièges, trajet 10000 - 11000 km 
0.216 kgCO2e/passager.km
Source: Base Carbone ADEME
 *Divisé par 1000 pour obtenir tonnes de CO2e</t>
        </r>
      </text>
    </comment>
    <comment ref="Q110" authorId="0" shapeId="0">
      <text>
        <r>
          <rPr>
            <b/>
            <sz val="9"/>
            <color indexed="81"/>
            <rFont val="Tahoma"/>
            <family val="2"/>
          </rPr>
          <t>FLORES-GUTIERREZ Josue-Fernando:</t>
        </r>
        <r>
          <rPr>
            <sz val="9"/>
            <color indexed="81"/>
            <rFont val="Tahoma"/>
            <family val="2"/>
          </rPr>
          <t xml:space="preserve">
Avion (voyageurs) -  plus de 250 sièges, trajet 10000 - 11000 km 
0.216 kgCO2e/passager.km
Source: Base Carbone ADEME
 *Divisé par 1000 pour obtenir tonnes de CO2e</t>
        </r>
      </text>
    </comment>
    <comment ref="AB110" authorId="0" shapeId="0">
      <text>
        <r>
          <rPr>
            <b/>
            <sz val="9"/>
            <color indexed="81"/>
            <rFont val="Tahoma"/>
            <family val="2"/>
          </rPr>
          <t>FLORES-GUTIERREZ Josue-Fernando:</t>
        </r>
        <r>
          <rPr>
            <sz val="9"/>
            <color indexed="81"/>
            <rFont val="Tahoma"/>
            <family val="2"/>
          </rPr>
          <t xml:space="preserve">
Avion (voyageurs) -  plus de 250 sièges, trajet 10000 - 11000 km 
0.216 kgCO2e/passager.km
Source: Base Carbone ADEME
 *Divisé par 1000 pour obtenir tonnes de CO2e</t>
        </r>
      </text>
    </comment>
    <comment ref="AJ110" authorId="0" shapeId="0">
      <text>
        <r>
          <rPr>
            <b/>
            <sz val="9"/>
            <color indexed="81"/>
            <rFont val="Tahoma"/>
            <family val="2"/>
          </rPr>
          <t>FLORES-GUTIERREZ Josue-Fernando:</t>
        </r>
        <r>
          <rPr>
            <sz val="9"/>
            <color indexed="81"/>
            <rFont val="Tahoma"/>
            <family val="2"/>
          </rPr>
          <t xml:space="preserve">
50,0 %
Source: Base Carbone ADEME
Scope 3/ Transport de personnes/ Aerien/ Capacité de plus de 250 sièges/ 
Avion (voyageurs) - plus de 250 sièges, trajet de 10000 - 11000 km / Afficher détails</t>
        </r>
      </text>
    </comment>
    <comment ref="F111" authorId="0" shapeId="0">
      <text>
        <r>
          <rPr>
            <b/>
            <sz val="9"/>
            <color indexed="81"/>
            <rFont val="Tahoma"/>
            <family val="2"/>
          </rPr>
          <t>FLORES-GUTIERREZ Josue-Fernando:</t>
        </r>
        <r>
          <rPr>
            <sz val="9"/>
            <color indexed="81"/>
            <rFont val="Tahoma"/>
            <family val="2"/>
          </rPr>
          <t xml:space="preserve">
Avion (voyageurs) -  plus de 250 sièges, trajet &gt; 11000 km 
0.223 kgCO2e/passager.km
Source: Base Carbone ADEME
 *Divisé par 1000 pour obtenir tonnes de CO2e</t>
        </r>
      </text>
    </comment>
    <comment ref="Q111" authorId="0" shapeId="0">
      <text>
        <r>
          <rPr>
            <b/>
            <sz val="9"/>
            <color indexed="81"/>
            <rFont val="Tahoma"/>
            <family val="2"/>
          </rPr>
          <t>FLORES-GUTIERREZ Josue-Fernando:</t>
        </r>
        <r>
          <rPr>
            <sz val="9"/>
            <color indexed="81"/>
            <rFont val="Tahoma"/>
            <family val="2"/>
          </rPr>
          <t xml:space="preserve">
Avion (voyageurs) -  plus de 250 sièges, trajet &gt; 11000 km 
0.223 kgCO2e/passager.km
Source: Base Carbone ADEME
 *Divisé par 1000 pour obtenir tonnes de CO2e</t>
        </r>
      </text>
    </comment>
    <comment ref="AB111" authorId="0" shapeId="0">
      <text>
        <r>
          <rPr>
            <b/>
            <sz val="9"/>
            <color indexed="81"/>
            <rFont val="Tahoma"/>
            <family val="2"/>
          </rPr>
          <t>FLORES-GUTIERREZ Josue-Fernando:</t>
        </r>
        <r>
          <rPr>
            <sz val="9"/>
            <color indexed="81"/>
            <rFont val="Tahoma"/>
            <family val="2"/>
          </rPr>
          <t xml:space="preserve">
Avion (voyageurs) -  plus de 250 sièges, trajet &gt; 11000 km 
0.223 kgCO2e/passager.km
Source: Base Carbone ADEME
 *Divisé par 1000 pour obtenir tonnes de CO2e</t>
        </r>
      </text>
    </comment>
    <comment ref="AJ111" authorId="0" shapeId="0">
      <text>
        <r>
          <rPr>
            <b/>
            <sz val="9"/>
            <color indexed="81"/>
            <rFont val="Tahoma"/>
            <family val="2"/>
          </rPr>
          <t>FLORES-GUTIERREZ Josue-Fernando:</t>
        </r>
        <r>
          <rPr>
            <sz val="9"/>
            <color indexed="81"/>
            <rFont val="Tahoma"/>
            <family val="2"/>
          </rPr>
          <t xml:space="preserve">
50,0 %
Source: Base Carbone ADEME
Scope 3/ Transport de personnes/ Aerien/ Capacité de plus de 250 sièges/ Avion (voyageurs) - plus de 250 sièges, trajet  &gt; 11000 km / Afficher détails</t>
        </r>
      </text>
    </comment>
    <comment ref="F112" authorId="0" shapeId="0">
      <text>
        <r>
          <rPr>
            <b/>
            <sz val="9"/>
            <color indexed="81"/>
            <rFont val="Tahoma"/>
            <family val="2"/>
          </rPr>
          <t xml:space="preserve">FLORES-GUTIERREZ Josue-Fernando:
650 kgCO2e/m2 SHON
</t>
        </r>
        <r>
          <rPr>
            <sz val="9"/>
            <color indexed="81"/>
            <rFont val="Tahoma"/>
            <family val="2"/>
          </rPr>
          <t>Source: Base Carbone
SCOPE 3 Achat de biens/ Batiments, ouvrages d'art et voirie/ Batiments/ Batiment bureaux</t>
        </r>
      </text>
    </comment>
    <comment ref="Q112" authorId="0" shapeId="0">
      <text>
        <r>
          <rPr>
            <b/>
            <sz val="9"/>
            <color indexed="81"/>
            <rFont val="Tahoma"/>
            <family val="2"/>
          </rPr>
          <t xml:space="preserve">FLORES-GUTIERREZ Josue-Fernando:
650 kgCO2e/m2 SHON
</t>
        </r>
        <r>
          <rPr>
            <sz val="9"/>
            <color indexed="81"/>
            <rFont val="Tahoma"/>
            <family val="2"/>
          </rPr>
          <t>Source: Base Carbone
SCOPE 3 Achat de biens/ Batiments, ouvrages d'art et voirie/ Batiments/ Batiment bureaux</t>
        </r>
      </text>
    </comment>
    <comment ref="AB112" authorId="0" shapeId="0">
      <text>
        <r>
          <rPr>
            <b/>
            <sz val="9"/>
            <color indexed="81"/>
            <rFont val="Tahoma"/>
            <family val="2"/>
          </rPr>
          <t xml:space="preserve">FLORES-GUTIERREZ Josue-Fernando:
650 kgCO2e/m2 SHON
</t>
        </r>
        <r>
          <rPr>
            <sz val="9"/>
            <color indexed="81"/>
            <rFont val="Tahoma"/>
            <family val="2"/>
          </rPr>
          <t>Source: Base Carbone
SCOPE 3 Achat de biens/ Batiments, ouvrages d'art et voirie/ Batiments/ Batiment bureaux</t>
        </r>
      </text>
    </comment>
  </commentList>
</comments>
</file>

<file path=xl/comments3.xml><?xml version="1.0" encoding="utf-8"?>
<comments xmlns="http://schemas.openxmlformats.org/spreadsheetml/2006/main">
  <authors>
    <author>FLORES-GUTIERREZ Josue-Fernando</author>
  </authors>
  <commentList>
    <comment ref="D4" authorId="0" shapeId="0">
      <text>
        <r>
          <rPr>
            <b/>
            <sz val="9"/>
            <color indexed="81"/>
            <rFont val="Tahoma"/>
            <family val="2"/>
          </rPr>
          <t xml:space="preserve">FLORES-GUTIERREZ Josue-Fernando:
</t>
        </r>
        <r>
          <rPr>
            <sz val="9"/>
            <color indexed="81"/>
            <rFont val="Tahoma"/>
            <family val="2"/>
          </rPr>
          <t>Valeurs reprises de l'oglet Emissions 201_2014_2017 avec le changement des FE pour ces de 2017</t>
        </r>
      </text>
    </comment>
    <comment ref="E4" authorId="0" shapeId="0">
      <text>
        <r>
          <rPr>
            <b/>
            <sz val="9"/>
            <color indexed="81"/>
            <rFont val="Tahoma"/>
            <family val="2"/>
          </rPr>
          <t>FLORES-GUTIERREZ Josue-Fernando:</t>
        </r>
        <r>
          <rPr>
            <sz val="9"/>
            <color indexed="81"/>
            <rFont val="Tahoma"/>
            <family val="2"/>
          </rPr>
          <t xml:space="preserve">
Valeurs reprises de l'oglet Emissions 201_2014_2017 avec le changement des Incertitudes pour ces de 2017</t>
        </r>
      </text>
    </comment>
    <comment ref="F4" authorId="0" shapeId="0">
      <text>
        <r>
          <rPr>
            <b/>
            <sz val="9"/>
            <color indexed="81"/>
            <rFont val="Tahoma"/>
            <family val="2"/>
          </rPr>
          <t xml:space="preserve">FLORES-GUTIERREZ Josue-Fernando:
</t>
        </r>
        <r>
          <rPr>
            <sz val="9"/>
            <color indexed="81"/>
            <rFont val="Tahoma"/>
            <family val="2"/>
          </rPr>
          <t>Valeurs reprises de l'oglet Emissions 201_2014_2017 avec le changement des FE pour ces de 2017</t>
        </r>
      </text>
    </comment>
    <comment ref="G4" authorId="0" shapeId="0">
      <text>
        <r>
          <rPr>
            <b/>
            <sz val="9"/>
            <color indexed="81"/>
            <rFont val="Tahoma"/>
            <family val="2"/>
          </rPr>
          <t>FLORES-GUTIERREZ Josue-Fernando:</t>
        </r>
        <r>
          <rPr>
            <sz val="9"/>
            <color indexed="81"/>
            <rFont val="Tahoma"/>
            <family val="2"/>
          </rPr>
          <t xml:space="preserve">
Valeurs reprises de l'oglet Emissions 201_2014_2017 avec le changement des Incertitudes pour ces de 2017</t>
        </r>
      </text>
    </comment>
    <comment ref="H4" authorId="0" shapeId="0">
      <text>
        <r>
          <rPr>
            <b/>
            <sz val="9"/>
            <color indexed="81"/>
            <rFont val="Tahoma"/>
            <family val="2"/>
          </rPr>
          <t>FLORES-GUTIERREZ Josue-Fernando:</t>
        </r>
        <r>
          <rPr>
            <sz val="9"/>
            <color indexed="81"/>
            <rFont val="Tahoma"/>
            <family val="2"/>
          </rPr>
          <t xml:space="preserve">
Valeurs reprises de l'oglet Emissions 201_2014_2017</t>
        </r>
      </text>
    </comment>
    <comment ref="I4" authorId="0" shapeId="0">
      <text>
        <r>
          <rPr>
            <b/>
            <sz val="9"/>
            <color indexed="81"/>
            <rFont val="Tahoma"/>
            <family val="2"/>
          </rPr>
          <t>FLORES-GUTIERREZ Josue-Fernando:</t>
        </r>
        <r>
          <rPr>
            <sz val="9"/>
            <color indexed="81"/>
            <rFont val="Tahoma"/>
            <family val="2"/>
          </rPr>
          <t xml:space="preserve">
Valeurs reprises de l'oglet Emissions 201_2014_2017 </t>
        </r>
      </text>
    </comment>
    <comment ref="C30" authorId="0" shapeId="0">
      <text>
        <r>
          <rPr>
            <b/>
            <sz val="9"/>
            <color indexed="81"/>
            <rFont val="Tahoma"/>
            <family val="2"/>
          </rPr>
          <t>FLORES-GUTIERREZ Josue-Fernando:</t>
        </r>
        <r>
          <rPr>
            <sz val="9"/>
            <color indexed="81"/>
            <rFont val="Tahoma"/>
            <family val="2"/>
          </rPr>
          <t xml:space="preserve">
Batiments Gardanne +CIS
Ordinateurs+ Vechicules </t>
        </r>
      </text>
    </comment>
  </commentList>
</comments>
</file>

<file path=xl/comments4.xml><?xml version="1.0" encoding="utf-8"?>
<comments xmlns="http://schemas.openxmlformats.org/spreadsheetml/2006/main">
  <authors>
    <author>LETANG Kristell</author>
    <author>FLORES-GUTIERREZ Josue-Fernando</author>
    <author>relecteur</author>
  </authors>
  <commentList>
    <comment ref="AC3" authorId="0" shapeId="0">
      <text>
        <r>
          <rPr>
            <b/>
            <sz val="9"/>
            <color indexed="81"/>
            <rFont val="Tahoma"/>
            <family val="2"/>
          </rPr>
          <t>LETANG Kristell:</t>
        </r>
        <r>
          <rPr>
            <sz val="9"/>
            <color indexed="81"/>
            <rFont val="Tahoma"/>
            <family val="2"/>
          </rPr>
          <t xml:space="preserve">
2014 - 2010</t>
        </r>
      </text>
    </comment>
    <comment ref="AD3" authorId="0" shapeId="0">
      <text>
        <r>
          <rPr>
            <b/>
            <sz val="9"/>
            <color indexed="81"/>
            <rFont val="Tahoma"/>
            <family val="2"/>
          </rPr>
          <t>LETANG Kristell:</t>
        </r>
        <r>
          <rPr>
            <sz val="9"/>
            <color indexed="81"/>
            <rFont val="Tahoma"/>
            <family val="2"/>
          </rPr>
          <t xml:space="preserve">
2014 - 2010</t>
        </r>
      </text>
    </comment>
    <comment ref="E5" authorId="0" shapeId="0">
      <text>
        <r>
          <rPr>
            <b/>
            <sz val="9"/>
            <color indexed="81"/>
            <rFont val="Tahoma"/>
            <family val="2"/>
          </rPr>
          <t>LETANG Kristell:</t>
        </r>
        <r>
          <rPr>
            <sz val="9"/>
            <color indexed="81"/>
            <rFont val="Tahoma"/>
            <family val="2"/>
          </rPr>
          <t xml:space="preserve">
Issu de la base carbone</t>
        </r>
      </text>
    </comment>
    <comment ref="F5" authorId="0" shapeId="0">
      <text>
        <r>
          <rPr>
            <b/>
            <sz val="9"/>
            <color indexed="81"/>
            <rFont val="Tahoma"/>
            <family val="2"/>
          </rPr>
          <t>LETANG Kristell:</t>
        </r>
        <r>
          <rPr>
            <sz val="9"/>
            <color indexed="81"/>
            <rFont val="Tahoma"/>
            <family val="2"/>
          </rPr>
          <t xml:space="preserve">
Issu de la base carbone</t>
        </r>
      </text>
    </comment>
    <comment ref="G5" authorId="0" shapeId="0">
      <text>
        <r>
          <rPr>
            <b/>
            <sz val="9"/>
            <color indexed="81"/>
            <rFont val="Tahoma"/>
            <family val="2"/>
          </rPr>
          <t>LETANG Kristell:</t>
        </r>
        <r>
          <rPr>
            <sz val="9"/>
            <color indexed="81"/>
            <rFont val="Tahoma"/>
            <family val="2"/>
          </rPr>
          <t xml:space="preserve">
Issu de la base carbone</t>
        </r>
      </text>
    </comment>
    <comment ref="H5" authorId="0" shapeId="0">
      <text>
        <r>
          <rPr>
            <b/>
            <sz val="9"/>
            <color indexed="81"/>
            <rFont val="Tahoma"/>
            <family val="2"/>
          </rPr>
          <t>LETANG Kristell:</t>
        </r>
        <r>
          <rPr>
            <sz val="9"/>
            <color indexed="81"/>
            <rFont val="Tahoma"/>
            <family val="2"/>
          </rPr>
          <t xml:space="preserve">
Issu de la Base Carbone (tableau des principaux PRG à 100 ans)</t>
        </r>
      </text>
    </comment>
    <comment ref="I5" authorId="0" shapeId="0">
      <text>
        <r>
          <rPr>
            <b/>
            <sz val="9"/>
            <color indexed="81"/>
            <rFont val="Tahoma"/>
            <family val="2"/>
          </rPr>
          <t>LETANG Kristell:</t>
        </r>
        <r>
          <rPr>
            <sz val="9"/>
            <color indexed="81"/>
            <rFont val="Tahoma"/>
            <family val="2"/>
          </rPr>
          <t xml:space="preserve">
Issu de la base carbone</t>
        </r>
      </text>
    </comment>
    <comment ref="O5" authorId="0" shapeId="0">
      <text>
        <r>
          <rPr>
            <b/>
            <sz val="9"/>
            <color indexed="81"/>
            <rFont val="Tahoma"/>
            <family val="2"/>
          </rPr>
          <t>LETANG Kristell:</t>
        </r>
        <r>
          <rPr>
            <sz val="9"/>
            <color indexed="81"/>
            <rFont val="Tahoma"/>
            <family val="2"/>
          </rPr>
          <t xml:space="preserve">
Issu de la base carbone</t>
        </r>
      </text>
    </comment>
    <comment ref="P5" authorId="0" shapeId="0">
      <text>
        <r>
          <rPr>
            <b/>
            <sz val="9"/>
            <color indexed="81"/>
            <rFont val="Tahoma"/>
            <family val="2"/>
          </rPr>
          <t>LETANG Kristell:</t>
        </r>
        <r>
          <rPr>
            <sz val="9"/>
            <color indexed="81"/>
            <rFont val="Tahoma"/>
            <family val="2"/>
          </rPr>
          <t xml:space="preserve">
Issu de la base carbone</t>
        </r>
      </text>
    </comment>
    <comment ref="Q5" authorId="0" shapeId="0">
      <text>
        <r>
          <rPr>
            <b/>
            <sz val="9"/>
            <color indexed="81"/>
            <rFont val="Tahoma"/>
            <family val="2"/>
          </rPr>
          <t>LETANG Kristell:</t>
        </r>
        <r>
          <rPr>
            <sz val="9"/>
            <color indexed="81"/>
            <rFont val="Tahoma"/>
            <family val="2"/>
          </rPr>
          <t xml:space="preserve">
Issu de la base carbone</t>
        </r>
      </text>
    </comment>
    <comment ref="R5" authorId="0" shapeId="0">
      <text>
        <r>
          <rPr>
            <b/>
            <sz val="9"/>
            <color indexed="81"/>
            <rFont val="Tahoma"/>
            <family val="2"/>
          </rPr>
          <t>LETANG Kristell:</t>
        </r>
        <r>
          <rPr>
            <sz val="9"/>
            <color indexed="81"/>
            <rFont val="Tahoma"/>
            <family val="2"/>
          </rPr>
          <t xml:space="preserve">
Issu de la Base Carbone (tableau des principaux PRG à 100 ans)</t>
        </r>
      </text>
    </comment>
    <comment ref="S5" authorId="0" shapeId="0">
      <text>
        <r>
          <rPr>
            <b/>
            <sz val="9"/>
            <color indexed="81"/>
            <rFont val="Tahoma"/>
            <family val="2"/>
          </rPr>
          <t>LETANG Kristell:</t>
        </r>
        <r>
          <rPr>
            <sz val="9"/>
            <color indexed="81"/>
            <rFont val="Tahoma"/>
            <family val="2"/>
          </rPr>
          <t xml:space="preserve">
Issu de la base carbone</t>
        </r>
      </text>
    </comment>
    <comment ref="W5" authorId="0" shapeId="0">
      <text>
        <r>
          <rPr>
            <b/>
            <sz val="9"/>
            <color indexed="81"/>
            <rFont val="Tahoma"/>
            <family val="2"/>
          </rPr>
          <t>LETANG Kristell:</t>
        </r>
        <r>
          <rPr>
            <sz val="9"/>
            <color indexed="81"/>
            <rFont val="Tahoma"/>
            <family val="2"/>
          </rPr>
          <t xml:space="preserve">
Issu de la base carbone</t>
        </r>
      </text>
    </comment>
    <comment ref="X5" authorId="0" shapeId="0">
      <text>
        <r>
          <rPr>
            <b/>
            <sz val="9"/>
            <color indexed="81"/>
            <rFont val="Tahoma"/>
            <family val="2"/>
          </rPr>
          <t>LETANG Kristell:</t>
        </r>
        <r>
          <rPr>
            <sz val="9"/>
            <color indexed="81"/>
            <rFont val="Tahoma"/>
            <family val="2"/>
          </rPr>
          <t xml:space="preserve">
Issu de la base carbone</t>
        </r>
      </text>
    </comment>
    <comment ref="Y5" authorId="0" shapeId="0">
      <text>
        <r>
          <rPr>
            <b/>
            <sz val="9"/>
            <color indexed="81"/>
            <rFont val="Tahoma"/>
            <family val="2"/>
          </rPr>
          <t>LETANG Kristell:</t>
        </r>
        <r>
          <rPr>
            <sz val="9"/>
            <color indexed="81"/>
            <rFont val="Tahoma"/>
            <family val="2"/>
          </rPr>
          <t xml:space="preserve">
Issu de la base carbone</t>
        </r>
      </text>
    </comment>
    <comment ref="Z5" authorId="0" shapeId="0">
      <text>
        <r>
          <rPr>
            <b/>
            <sz val="9"/>
            <color indexed="81"/>
            <rFont val="Tahoma"/>
            <family val="2"/>
          </rPr>
          <t>LETANG Kristell:</t>
        </r>
        <r>
          <rPr>
            <sz val="9"/>
            <color indexed="81"/>
            <rFont val="Tahoma"/>
            <family val="2"/>
          </rPr>
          <t xml:space="preserve">
Issu de la Base Carbone (tableau des principaux PRG à 100 ans)</t>
        </r>
      </text>
    </comment>
    <comment ref="AA5" authorId="0" shapeId="0">
      <text>
        <r>
          <rPr>
            <b/>
            <sz val="9"/>
            <color indexed="81"/>
            <rFont val="Tahoma"/>
            <family val="2"/>
          </rPr>
          <t>LETANG Kristell:</t>
        </r>
        <r>
          <rPr>
            <sz val="9"/>
            <color indexed="81"/>
            <rFont val="Tahoma"/>
            <family val="2"/>
          </rPr>
          <t xml:space="preserve">
Issu de la base carbone</t>
        </r>
      </text>
    </comment>
    <comment ref="E6" authorId="1" shapeId="0">
      <text>
        <r>
          <rPr>
            <b/>
            <sz val="9"/>
            <color indexed="81"/>
            <rFont val="Tahoma"/>
            <family val="2"/>
          </rPr>
          <t>FLORES-GUTIERREZ Josue-Fernando:</t>
        </r>
        <r>
          <rPr>
            <sz val="9"/>
            <color indexed="81"/>
            <rFont val="Tahoma"/>
            <family val="2"/>
          </rPr>
          <t xml:space="preserve">
Source: Base Carbone ADEME
PRG/ PRG à 100 ans du 5èmè rapport du GEIC/ Principaux gaz à effet de serre(CO2, CH4 et NO2)</t>
        </r>
      </text>
    </comment>
    <comment ref="F6" authorId="1" shapeId="0">
      <text>
        <r>
          <rPr>
            <b/>
            <sz val="9"/>
            <color indexed="81"/>
            <rFont val="Tahoma"/>
            <family val="2"/>
          </rPr>
          <t>FLORES-GUTIERREZ Josue-Fernando:</t>
        </r>
        <r>
          <rPr>
            <sz val="9"/>
            <color indexed="81"/>
            <rFont val="Tahoma"/>
            <family val="2"/>
          </rPr>
          <t xml:space="preserve">
Source: Base Carbone ADEME
PRG/ PRG à 100 ans du 5èmè rapport du GEIC/ Principaux gaz à effet de serre(CO2, CH4 et NO2)</t>
        </r>
      </text>
    </comment>
    <comment ref="G6" authorId="1" shapeId="0">
      <text>
        <r>
          <rPr>
            <b/>
            <sz val="9"/>
            <color indexed="81"/>
            <rFont val="Tahoma"/>
            <family val="2"/>
          </rPr>
          <t>FLORES-GUTIERREZ Josue-Fernando:</t>
        </r>
        <r>
          <rPr>
            <sz val="9"/>
            <color indexed="81"/>
            <rFont val="Tahoma"/>
            <family val="2"/>
          </rPr>
          <t xml:space="preserve">
Source: Base Carbone ADEME
PRG/ PRG à 100 ans du 5èmè rapport du GEIC/ Principaux gaz à effet de serre(CO2, CH4 et NO2)</t>
        </r>
      </text>
    </comment>
    <comment ref="H6" authorId="1" shapeId="0">
      <text>
        <r>
          <rPr>
            <b/>
            <sz val="9"/>
            <color indexed="81"/>
            <rFont val="Tahoma"/>
            <family val="2"/>
          </rPr>
          <t>FLORES-GUTIERREZ Josue-Fernando:</t>
        </r>
        <r>
          <rPr>
            <sz val="9"/>
            <color indexed="81"/>
            <rFont val="Tahoma"/>
            <family val="2"/>
          </rPr>
          <t xml:space="preserve">
Source: Base Carbone ADEME
PRG/ PRG à 100 ans du 5èmè rapport du GEIC/ Principaux gaz à effet de serre(CO2, CH4 et NO2)</t>
        </r>
      </text>
    </comment>
    <comment ref="I6" authorId="1" shapeId="0">
      <text>
        <r>
          <rPr>
            <b/>
            <sz val="9"/>
            <color indexed="81"/>
            <rFont val="Tahoma"/>
            <family val="2"/>
          </rPr>
          <t>FLORES-GUTIERREZ Josue-Fernando:</t>
        </r>
        <r>
          <rPr>
            <sz val="9"/>
            <color indexed="81"/>
            <rFont val="Tahoma"/>
            <family val="2"/>
          </rPr>
          <t xml:space="preserve">
Source: Base Carbone ADEME
PRG/ PRG à 100 ans du 5èmè rapport du GEIC/ Principaux gaz à effet de serre fluorés</t>
        </r>
      </text>
    </comment>
    <comment ref="O6" authorId="1" shapeId="0">
      <text>
        <r>
          <rPr>
            <b/>
            <sz val="9"/>
            <color indexed="81"/>
            <rFont val="Tahoma"/>
            <family val="2"/>
          </rPr>
          <t>FLORES-GUTIERREZ Josue-Fernando:</t>
        </r>
        <r>
          <rPr>
            <sz val="9"/>
            <color indexed="81"/>
            <rFont val="Tahoma"/>
            <family val="2"/>
          </rPr>
          <t xml:space="preserve">
Source: Base Carbone ADEME
PRG/ PRG à 100 ans du 5èmè rapport du GEIC/ Principaux gaz à effet de serre(CO2, CH4 et NO2)</t>
        </r>
      </text>
    </comment>
    <comment ref="P6" authorId="1" shapeId="0">
      <text>
        <r>
          <rPr>
            <b/>
            <sz val="9"/>
            <color indexed="81"/>
            <rFont val="Tahoma"/>
            <family val="2"/>
          </rPr>
          <t>FLORES-GUTIERREZ Josue-Fernando:</t>
        </r>
        <r>
          <rPr>
            <sz val="9"/>
            <color indexed="81"/>
            <rFont val="Tahoma"/>
            <family val="2"/>
          </rPr>
          <t xml:space="preserve">
Source: Base Carbone ADEME
PRG/ PRG à 100 ans du 5èmè rapport du GEIC/ Principaux gaz à effet de serre(CO2, CH4 et NO2)</t>
        </r>
      </text>
    </comment>
    <comment ref="Q6" authorId="1" shapeId="0">
      <text>
        <r>
          <rPr>
            <b/>
            <sz val="9"/>
            <color indexed="81"/>
            <rFont val="Tahoma"/>
            <family val="2"/>
          </rPr>
          <t>FLORES-GUTIERREZ Josue-Fernando:</t>
        </r>
        <r>
          <rPr>
            <sz val="9"/>
            <color indexed="81"/>
            <rFont val="Tahoma"/>
            <family val="2"/>
          </rPr>
          <t xml:space="preserve">
Source: Base Carbone ADEME
PRG/ PRG à 100 ans du 5èmè rapport du GEIC/ Principaux gaz à effet de serre(CO2, CH4 et NO2)</t>
        </r>
      </text>
    </comment>
    <comment ref="R6" authorId="1" shapeId="0">
      <text>
        <r>
          <rPr>
            <b/>
            <sz val="9"/>
            <color indexed="81"/>
            <rFont val="Tahoma"/>
            <family val="2"/>
          </rPr>
          <t>FLORES-GUTIERREZ Josue-Fernando:</t>
        </r>
        <r>
          <rPr>
            <sz val="9"/>
            <color indexed="81"/>
            <rFont val="Tahoma"/>
            <family val="2"/>
          </rPr>
          <t xml:space="preserve">
Source: Base Carbone ADEME
PRG/ PRG à 100 ans du 5èmè rapport du GEIC/ Principaux gaz à effet de serre(CO2, CH4 et NO2)</t>
        </r>
      </text>
    </comment>
    <comment ref="S6" authorId="1" shapeId="0">
      <text>
        <r>
          <rPr>
            <b/>
            <sz val="9"/>
            <color indexed="81"/>
            <rFont val="Tahoma"/>
            <family val="2"/>
          </rPr>
          <t>FLORES-GUTIERREZ Josue-Fernando:</t>
        </r>
        <r>
          <rPr>
            <sz val="9"/>
            <color indexed="81"/>
            <rFont val="Tahoma"/>
            <family val="2"/>
          </rPr>
          <t xml:space="preserve">
Source: Base Carbone ADEME
PRG/ PRG à 100 ans du 5èmè rapport du GEIC/ Principaux gaz à effet de serre fluorés</t>
        </r>
      </text>
    </comment>
    <comment ref="W6" authorId="1" shapeId="0">
      <text>
        <r>
          <rPr>
            <b/>
            <sz val="9"/>
            <color indexed="81"/>
            <rFont val="Tahoma"/>
            <family val="2"/>
          </rPr>
          <t>FLORES-GUTIERREZ Josue-Fernando:</t>
        </r>
        <r>
          <rPr>
            <sz val="9"/>
            <color indexed="81"/>
            <rFont val="Tahoma"/>
            <family val="2"/>
          </rPr>
          <t xml:space="preserve">
Source: Base Carbone ADEME
PRG/ PRG à 100 ans du 5èmè rapport du GEIC/ Principaux gaz à effet de serre(CO2, CH4 et NO2)</t>
        </r>
      </text>
    </comment>
    <comment ref="X6" authorId="1" shapeId="0">
      <text>
        <r>
          <rPr>
            <b/>
            <sz val="9"/>
            <color indexed="81"/>
            <rFont val="Tahoma"/>
            <family val="2"/>
          </rPr>
          <t>FLORES-GUTIERREZ Josue-Fernando:</t>
        </r>
        <r>
          <rPr>
            <sz val="9"/>
            <color indexed="81"/>
            <rFont val="Tahoma"/>
            <family val="2"/>
          </rPr>
          <t xml:space="preserve">
Source: Base Carbone ADEME
PRG/ PRG à 100 ans du 5èmè rapport du GEIC/ Principaux gaz à effet de serre(CO2, CH4 et NO2)</t>
        </r>
      </text>
    </comment>
    <comment ref="Y6" authorId="1" shapeId="0">
      <text>
        <r>
          <rPr>
            <b/>
            <sz val="9"/>
            <color indexed="81"/>
            <rFont val="Tahoma"/>
            <family val="2"/>
          </rPr>
          <t>FLORES-GUTIERREZ Josue-Fernando:</t>
        </r>
        <r>
          <rPr>
            <sz val="9"/>
            <color indexed="81"/>
            <rFont val="Tahoma"/>
            <family val="2"/>
          </rPr>
          <t xml:space="preserve">
Source: Base Carbone ADEME
PRG/ PRG à 100 ans du 5èmè rapport du GEIC/ Principaux gaz à effet de serre(CO2, CH4 et NO2)</t>
        </r>
      </text>
    </comment>
    <comment ref="Z6" authorId="1" shapeId="0">
      <text>
        <r>
          <rPr>
            <b/>
            <sz val="9"/>
            <color indexed="81"/>
            <rFont val="Tahoma"/>
            <family val="2"/>
          </rPr>
          <t>FLORES-GUTIERREZ Josue-Fernando:</t>
        </r>
        <r>
          <rPr>
            <sz val="9"/>
            <color indexed="81"/>
            <rFont val="Tahoma"/>
            <family val="2"/>
          </rPr>
          <t xml:space="preserve">
Source: Base Carbone ADEME
PRG/ PRG à 100 ans du 5èmè rapport du GEIC/ Principaux gaz à effet de serre(CO2, CH4 et NO2)</t>
        </r>
      </text>
    </comment>
    <comment ref="AA6" authorId="1" shapeId="0">
      <text>
        <r>
          <rPr>
            <b/>
            <sz val="9"/>
            <color indexed="81"/>
            <rFont val="Tahoma"/>
            <family val="2"/>
          </rPr>
          <t>FLORES-GUTIERREZ Josue-Fernando:</t>
        </r>
        <r>
          <rPr>
            <sz val="9"/>
            <color indexed="81"/>
            <rFont val="Tahoma"/>
            <family val="2"/>
          </rPr>
          <t xml:space="preserve">
Source: Base Carbone ADEME
PRG/ PRG à 100 ans du 5èmè rapport du GEIC/ Principaux gaz à effet de serre fluorés</t>
        </r>
      </text>
    </comment>
    <comment ref="C7" authorId="2" shapeId="0">
      <text>
        <r>
          <rPr>
            <b/>
            <sz val="10"/>
            <color indexed="81"/>
            <rFont val="Tahoma"/>
            <family val="2"/>
          </rPr>
          <t>NG: Source Base carbone</t>
        </r>
        <r>
          <rPr>
            <sz val="10"/>
            <color indexed="81"/>
            <rFont val="Tahoma"/>
            <family val="2"/>
          </rPr>
          <t xml:space="preserve">
</t>
        </r>
      </text>
    </comment>
    <comment ref="J7" authorId="0" shapeId="0">
      <text>
        <r>
          <rPr>
            <b/>
            <sz val="9"/>
            <color indexed="81"/>
            <rFont val="Tahoma"/>
            <family val="2"/>
          </rPr>
          <t>LETANG Kristell:</t>
        </r>
        <r>
          <rPr>
            <sz val="9"/>
            <color indexed="81"/>
            <rFont val="Tahoma"/>
            <family val="2"/>
          </rPr>
          <t xml:space="preserve">
Donnée non pertinente
car pas de distinction faite en 2010 entre le papier et le carton
Pas de recalcul des données de 2010</t>
        </r>
      </text>
    </comment>
    <comment ref="T7" authorId="0" shapeId="0">
      <text>
        <r>
          <rPr>
            <b/>
            <sz val="9"/>
            <color indexed="81"/>
            <rFont val="Tahoma"/>
            <family val="2"/>
          </rPr>
          <t>LETANG Kristell:</t>
        </r>
        <r>
          <rPr>
            <sz val="9"/>
            <color indexed="81"/>
            <rFont val="Tahoma"/>
            <family val="2"/>
          </rPr>
          <t xml:space="preserve">
Somme papier + carton
</t>
        </r>
      </text>
    </comment>
    <comment ref="AB7" authorId="1" shapeId="0">
      <text>
        <r>
          <rPr>
            <b/>
            <sz val="9"/>
            <color indexed="81"/>
            <rFont val="Tahoma"/>
            <family val="2"/>
          </rPr>
          <t>FLORES-GUTIERREZ Josue-Fernando:</t>
        </r>
        <r>
          <rPr>
            <sz val="9"/>
            <color indexed="81"/>
            <rFont val="Tahoma"/>
            <family val="2"/>
          </rPr>
          <t xml:space="preserve">
Somme Carton + Papier</t>
        </r>
      </text>
    </comment>
    <comment ref="D8" authorId="1" shapeId="0">
      <text>
        <r>
          <rPr>
            <b/>
            <sz val="9"/>
            <color indexed="81"/>
            <rFont val="Tahoma"/>
            <family val="2"/>
          </rPr>
          <t>FLORES-GUTIERREZ Josue-Fernando:</t>
        </r>
        <r>
          <rPr>
            <sz val="9"/>
            <color indexed="81"/>
            <rFont val="Tahoma"/>
            <family val="2"/>
          </rPr>
          <t xml:space="preserve">
</t>
        </r>
        <r>
          <rPr>
            <b/>
            <sz val="9"/>
            <color indexed="81"/>
            <rFont val="Tahoma"/>
            <family val="2"/>
          </rPr>
          <t>- 43,3 KgCO2e/tonne</t>
        </r>
        <r>
          <rPr>
            <sz val="9"/>
            <color indexed="81"/>
            <rFont val="Tahoma"/>
            <family val="2"/>
          </rPr>
          <t xml:space="preserve">
Divisé par 1000 pour obtenir des tonnes
Source: Base Carbone - ADEME 
Scope 3/ Traitement de déchets/ Déchets organiques/ Papiers/ Emissions évitées - papier, fin de vie moyenne</t>
        </r>
      </text>
    </comment>
    <comment ref="M8" authorId="0" shapeId="0">
      <text>
        <r>
          <rPr>
            <b/>
            <sz val="9"/>
            <color indexed="81"/>
            <rFont val="Tahoma"/>
            <family val="2"/>
          </rPr>
          <t>LETANG Kristell:</t>
        </r>
        <r>
          <rPr>
            <sz val="9"/>
            <color indexed="81"/>
            <rFont val="Tahoma"/>
            <family val="2"/>
          </rPr>
          <t xml:space="preserve">
Emissions évitées - papier, fin de vie moyenne
KgCO2e/tonne
Divisé par 1000 pour obtenir des tonnes</t>
        </r>
      </text>
    </comment>
    <comment ref="N8" authorId="1" shapeId="0">
      <text>
        <r>
          <rPr>
            <b/>
            <sz val="9"/>
            <color indexed="81"/>
            <rFont val="Tahoma"/>
            <family val="2"/>
          </rPr>
          <t>FLORES-GUTIERREZ Josue-Fernando:</t>
        </r>
        <r>
          <rPr>
            <sz val="9"/>
            <color indexed="81"/>
            <rFont val="Tahoma"/>
            <family val="2"/>
          </rPr>
          <t xml:space="preserve">
</t>
        </r>
        <r>
          <rPr>
            <b/>
            <sz val="9"/>
            <color indexed="81"/>
            <rFont val="Tahoma"/>
            <family val="2"/>
          </rPr>
          <t>- 43,3 KgCO2e/tonne</t>
        </r>
        <r>
          <rPr>
            <sz val="9"/>
            <color indexed="81"/>
            <rFont val="Tahoma"/>
            <family val="2"/>
          </rPr>
          <t xml:space="preserve">
Divisé par 1000 pour obtenir des tonnes
Source: Base Carbone - ADEME 
Scope 3/ Traitement de déchets/ Déchets organiques/ Papiers/ Emissions évitées - papier, fin de vie moyenne</t>
        </r>
      </text>
    </comment>
    <comment ref="T8" authorId="0" shapeId="0">
      <text>
        <r>
          <rPr>
            <b/>
            <sz val="9"/>
            <color indexed="81"/>
            <rFont val="Tahoma"/>
            <family val="2"/>
          </rPr>
          <t>LETANG Kristell:</t>
        </r>
        <r>
          <rPr>
            <sz val="9"/>
            <color indexed="81"/>
            <rFont val="Tahoma"/>
            <family val="2"/>
          </rPr>
          <t xml:space="preserve">
Donnée à titre indicatif</t>
        </r>
      </text>
    </comment>
    <comment ref="V8" authorId="1" shapeId="0">
      <text>
        <r>
          <rPr>
            <b/>
            <sz val="9"/>
            <color indexed="81"/>
            <rFont val="Tahoma"/>
            <family val="2"/>
          </rPr>
          <t>FLORES-GUTIERREZ Josue-Fernando:</t>
        </r>
        <r>
          <rPr>
            <sz val="9"/>
            <color indexed="81"/>
            <rFont val="Tahoma"/>
            <family val="2"/>
          </rPr>
          <t xml:space="preserve">
</t>
        </r>
        <r>
          <rPr>
            <b/>
            <sz val="9"/>
            <color indexed="81"/>
            <rFont val="Tahoma"/>
            <family val="2"/>
          </rPr>
          <t>- 43,3 KgCO2e/tonne</t>
        </r>
        <r>
          <rPr>
            <sz val="9"/>
            <color indexed="81"/>
            <rFont val="Tahoma"/>
            <family val="2"/>
          </rPr>
          <t xml:space="preserve">
Divisé par 1000 pour obtenir des tonnes
Source: Base Carbone - ADEME 
Scope 3/ Traitement de déchets/ Déchets organiques/ Papiers/ Emissions évitées - papier, fin de vie moyenne</t>
        </r>
      </text>
    </comment>
    <comment ref="D9" authorId="1" shapeId="0">
      <text>
        <r>
          <rPr>
            <b/>
            <sz val="9"/>
            <color indexed="81"/>
            <rFont val="Tahoma"/>
            <family val="2"/>
          </rPr>
          <t>FLORES-GUTIERREZ Josue-Fernando:</t>
        </r>
        <r>
          <rPr>
            <sz val="9"/>
            <color indexed="81"/>
            <rFont val="Tahoma"/>
            <family val="2"/>
          </rPr>
          <t xml:space="preserve">
</t>
        </r>
        <r>
          <rPr>
            <b/>
            <sz val="9"/>
            <color indexed="81"/>
            <rFont val="Tahoma"/>
            <family val="2"/>
          </rPr>
          <t>- 23,1 KgCO2e/tonne</t>
        </r>
        <r>
          <rPr>
            <sz val="9"/>
            <color indexed="81"/>
            <rFont val="Tahoma"/>
            <family val="2"/>
          </rPr>
          <t xml:space="preserve">
Divisé par 1000 pour obtenir des tonnes
Source: Base Carbone - ADEME 
Scope 3/ Traitement de déchets/ Déchets organiques/ Papiers/ Emissions évitées - carton, fin de vie moyenne</t>
        </r>
      </text>
    </comment>
    <comment ref="M9" authorId="0" shapeId="0">
      <text>
        <r>
          <rPr>
            <b/>
            <sz val="9"/>
            <color indexed="81"/>
            <rFont val="Tahoma"/>
            <family val="2"/>
          </rPr>
          <t>LETANG Kristell:</t>
        </r>
        <r>
          <rPr>
            <sz val="9"/>
            <color indexed="81"/>
            <rFont val="Tahoma"/>
            <family val="2"/>
          </rPr>
          <t xml:space="preserve">
Emissions évitées - carton, fin de vie moyenne
KgCO2e/tonne
Divisé par 1000 pour obtenir des tonnes</t>
        </r>
      </text>
    </comment>
    <comment ref="N9" authorId="1" shapeId="0">
      <text>
        <r>
          <rPr>
            <b/>
            <sz val="9"/>
            <color indexed="81"/>
            <rFont val="Tahoma"/>
            <family val="2"/>
          </rPr>
          <t>FLORES-GUTIERREZ Josue-Fernando:</t>
        </r>
        <r>
          <rPr>
            <sz val="9"/>
            <color indexed="81"/>
            <rFont val="Tahoma"/>
            <family val="2"/>
          </rPr>
          <t xml:space="preserve">
</t>
        </r>
        <r>
          <rPr>
            <b/>
            <sz val="9"/>
            <color indexed="81"/>
            <rFont val="Tahoma"/>
            <family val="2"/>
          </rPr>
          <t>- 23,1 KgCO2e/tonne</t>
        </r>
        <r>
          <rPr>
            <sz val="9"/>
            <color indexed="81"/>
            <rFont val="Tahoma"/>
            <family val="2"/>
          </rPr>
          <t xml:space="preserve">
Divisé par 1000 pour obtenir des tonnes
Source: Base Carbone - ADEME 
Scope 3/ Traitement de déchets/ Déchets organiques/ Papiers/ Emissions évitées - carton, fin de vie moyenne</t>
        </r>
      </text>
    </comment>
    <comment ref="T9" authorId="0" shapeId="0">
      <text>
        <r>
          <rPr>
            <b/>
            <sz val="9"/>
            <color indexed="81"/>
            <rFont val="Tahoma"/>
            <family val="2"/>
          </rPr>
          <t>LETANG Kristell:</t>
        </r>
        <r>
          <rPr>
            <sz val="9"/>
            <color indexed="81"/>
            <rFont val="Tahoma"/>
            <family val="2"/>
          </rPr>
          <t xml:space="preserve">
Donnée à titre indicatif</t>
        </r>
      </text>
    </comment>
    <comment ref="V9" authorId="1" shapeId="0">
      <text>
        <r>
          <rPr>
            <b/>
            <sz val="9"/>
            <color indexed="81"/>
            <rFont val="Tahoma"/>
            <family val="2"/>
          </rPr>
          <t>FLORES-GUTIERREZ Josue-Fernando:</t>
        </r>
        <r>
          <rPr>
            <sz val="9"/>
            <color indexed="81"/>
            <rFont val="Tahoma"/>
            <family val="2"/>
          </rPr>
          <t xml:space="preserve">
</t>
        </r>
        <r>
          <rPr>
            <b/>
            <sz val="9"/>
            <color indexed="81"/>
            <rFont val="Tahoma"/>
            <family val="2"/>
          </rPr>
          <t>- 23,1 KgCO2e/tonne</t>
        </r>
        <r>
          <rPr>
            <sz val="9"/>
            <color indexed="81"/>
            <rFont val="Tahoma"/>
            <family val="2"/>
          </rPr>
          <t xml:space="preserve">
Divisé par 1000 pour obtenir des tonnes
Source: Base Carbone - ADEME 
Scope 3/ Traitement de déchets/ Déchets organiques/ Papiers/ Emissions évitées - carton, fin de vie moyenne</t>
        </r>
      </text>
    </comment>
    <comment ref="D10" authorId="1" shapeId="0">
      <text>
        <r>
          <rPr>
            <b/>
            <sz val="9"/>
            <color indexed="81"/>
            <rFont val="Tahoma"/>
            <family val="2"/>
          </rPr>
          <t>FLORES-GUTIERREZ Josue-Fernando:</t>
        </r>
        <r>
          <rPr>
            <sz val="9"/>
            <color indexed="81"/>
            <rFont val="Tahoma"/>
            <family val="2"/>
          </rPr>
          <t xml:space="preserve">
FE repris de 2010</t>
        </r>
      </text>
    </comment>
    <comment ref="M10" authorId="0" shapeId="0">
      <text>
        <r>
          <rPr>
            <b/>
            <sz val="9"/>
            <color indexed="81"/>
            <rFont val="Tahoma"/>
            <family val="2"/>
          </rPr>
          <t>LETANG Kristell:</t>
        </r>
        <r>
          <rPr>
            <sz val="9"/>
            <color indexed="81"/>
            <rFont val="Tahoma"/>
            <family val="2"/>
          </rPr>
          <t xml:space="preserve">
FE repris de 2010</t>
        </r>
      </text>
    </comment>
    <comment ref="N10" authorId="1" shapeId="0">
      <text>
        <r>
          <rPr>
            <b/>
            <sz val="9"/>
            <color indexed="81"/>
            <rFont val="Tahoma"/>
            <family val="2"/>
          </rPr>
          <t>FLORES-GUTIERREZ Josue-Fernando:</t>
        </r>
        <r>
          <rPr>
            <sz val="9"/>
            <color indexed="81"/>
            <rFont val="Tahoma"/>
            <family val="2"/>
          </rPr>
          <t xml:space="preserve">
FE repris de 2010</t>
        </r>
      </text>
    </comment>
    <comment ref="V10" authorId="1" shapeId="0">
      <text>
        <r>
          <rPr>
            <b/>
            <sz val="9"/>
            <color indexed="81"/>
            <rFont val="Tahoma"/>
            <family val="2"/>
          </rPr>
          <t>FLORES-GUTIERREZ Josue-Fernando:</t>
        </r>
        <r>
          <rPr>
            <sz val="9"/>
            <color indexed="81"/>
            <rFont val="Tahoma"/>
            <family val="2"/>
          </rPr>
          <t xml:space="preserve">
FE repris de 2010</t>
        </r>
      </text>
    </comment>
    <comment ref="M11" authorId="0" shapeId="0">
      <text>
        <r>
          <rPr>
            <b/>
            <sz val="9"/>
            <color indexed="81"/>
            <rFont val="Tahoma"/>
            <family val="2"/>
          </rPr>
          <t>LETANG Kristell:</t>
        </r>
        <r>
          <rPr>
            <sz val="9"/>
            <color indexed="81"/>
            <rFont val="Tahoma"/>
            <family val="2"/>
          </rPr>
          <t xml:space="preserve">
kgCO2e/tonne
Emissions évitées
ordures ménagères , fin de vie moyenne
Divisé par 1000 pour obtenir des tonnes</t>
        </r>
      </text>
    </comment>
    <comment ref="N11" authorId="1" shapeId="0">
      <text>
        <r>
          <rPr>
            <b/>
            <sz val="9"/>
            <color indexed="81"/>
            <rFont val="Tahoma"/>
            <family val="2"/>
          </rPr>
          <t>FLORES-GUTIERREZ Josue-Fernando:</t>
        </r>
        <r>
          <rPr>
            <sz val="9"/>
            <color indexed="81"/>
            <rFont val="Tahoma"/>
            <family val="2"/>
          </rPr>
          <t xml:space="preserve">
</t>
        </r>
        <r>
          <rPr>
            <b/>
            <sz val="9"/>
            <color indexed="81"/>
            <rFont val="Tahoma"/>
            <family val="2"/>
          </rPr>
          <t>- 94,1 KgCO2e/tonne</t>
        </r>
        <r>
          <rPr>
            <sz val="9"/>
            <color indexed="81"/>
            <rFont val="Tahoma"/>
            <family val="2"/>
          </rPr>
          <t xml:space="preserve">
Divisé par 1000 pour obtenir des tonnes
Source: Base Carbone - ADEME 
Scope 3/ Traitement de déchets/ Oordures ménagères/ Emissions évitées - ordures ménagères , fin de vie moyenne</t>
        </r>
      </text>
    </comment>
    <comment ref="V11" authorId="1" shapeId="0">
      <text>
        <r>
          <rPr>
            <b/>
            <sz val="9"/>
            <color indexed="81"/>
            <rFont val="Tahoma"/>
            <family val="2"/>
          </rPr>
          <t>FLORES-GUTIERREZ Josue-Fernando:</t>
        </r>
        <r>
          <rPr>
            <sz val="9"/>
            <color indexed="81"/>
            <rFont val="Tahoma"/>
            <family val="2"/>
          </rPr>
          <t xml:space="preserve">
</t>
        </r>
        <r>
          <rPr>
            <b/>
            <sz val="9"/>
            <color indexed="81"/>
            <rFont val="Tahoma"/>
            <family val="2"/>
          </rPr>
          <t>- 94,1 KgCO2e/tonne</t>
        </r>
        <r>
          <rPr>
            <sz val="9"/>
            <color indexed="81"/>
            <rFont val="Tahoma"/>
            <family val="2"/>
          </rPr>
          <t xml:space="preserve">
Divisé par 1000 pour obtenir des tonnes
Source: Base Carbone - ADEME 
Scope 3/ Traitement de déchets/ Oordures ménagères/ Emissions évitées - ordures ménagères , fin de vie moyenne</t>
        </r>
      </text>
    </comment>
    <comment ref="C12" authorId="2" shapeId="0">
      <text>
        <r>
          <rPr>
            <b/>
            <sz val="10"/>
            <color indexed="81"/>
            <rFont val="Tahoma"/>
            <family val="2"/>
          </rPr>
          <t>NG :</t>
        </r>
        <r>
          <rPr>
            <sz val="10"/>
            <color indexed="81"/>
            <rFont val="Tahoma"/>
            <family val="2"/>
          </rPr>
          <t xml:space="preserve">
 source Bilan carbone - fin de vie moyenne
</t>
        </r>
      </text>
    </comment>
    <comment ref="D12" authorId="2" shapeId="0">
      <text>
        <r>
          <rPr>
            <b/>
            <sz val="10"/>
            <color indexed="81"/>
            <rFont val="Tahoma"/>
            <family val="2"/>
          </rPr>
          <t>NG :</t>
        </r>
        <r>
          <rPr>
            <sz val="10"/>
            <color indexed="81"/>
            <rFont val="Tahoma"/>
            <family val="2"/>
          </rPr>
          <t xml:space="preserve">
 source Bilan carbone - fin de vie moyenne
</t>
        </r>
      </text>
    </comment>
    <comment ref="N12" authorId="2" shapeId="0">
      <text>
        <r>
          <rPr>
            <b/>
            <sz val="10"/>
            <color indexed="81"/>
            <rFont val="Tahoma"/>
            <family val="2"/>
          </rPr>
          <t>NG :</t>
        </r>
        <r>
          <rPr>
            <sz val="10"/>
            <color indexed="81"/>
            <rFont val="Tahoma"/>
            <family val="2"/>
          </rPr>
          <t xml:space="preserve">
 source Bilan carbone - fin de vie moyenne
</t>
        </r>
      </text>
    </comment>
    <comment ref="V12" authorId="2" shapeId="0">
      <text>
        <r>
          <rPr>
            <b/>
            <sz val="10"/>
            <color indexed="81"/>
            <rFont val="Tahoma"/>
            <family val="2"/>
          </rPr>
          <t>NG :</t>
        </r>
        <r>
          <rPr>
            <sz val="10"/>
            <color indexed="81"/>
            <rFont val="Tahoma"/>
            <family val="2"/>
          </rPr>
          <t xml:space="preserve">
 source Bilan carbone - fin de vie moyenne
</t>
        </r>
      </text>
    </comment>
  </commentList>
</comments>
</file>

<file path=xl/comments5.xml><?xml version="1.0" encoding="utf-8"?>
<comments xmlns="http://schemas.openxmlformats.org/spreadsheetml/2006/main">
  <authors>
    <author>FLORES-GUTIERREZ Josue-Fernando</author>
  </authors>
  <commentList>
    <comment ref="C3" authorId="0" shapeId="0">
      <text>
        <r>
          <rPr>
            <b/>
            <sz val="9"/>
            <color indexed="81"/>
            <rFont val="Tahoma"/>
            <family val="2"/>
          </rPr>
          <t>FLORES-GUTIERREZ Josue-Fernando:</t>
        </r>
        <r>
          <rPr>
            <sz val="9"/>
            <color indexed="81"/>
            <rFont val="Tahoma"/>
            <family val="2"/>
          </rPr>
          <t xml:space="preserve">
Batiments Gardanne +CIS
Ordinateurs+ Vechicules </t>
        </r>
      </text>
    </comment>
  </commentList>
</comments>
</file>

<file path=xl/sharedStrings.xml><?xml version="1.0" encoding="utf-8"?>
<sst xmlns="http://schemas.openxmlformats.org/spreadsheetml/2006/main" count="695" uniqueCount="279">
  <si>
    <t>Emissions GES (en Tonnes)</t>
  </si>
  <si>
    <t>catégories d'émissions</t>
  </si>
  <si>
    <t xml:space="preserve">Sous total </t>
  </si>
  <si>
    <t>Emissions directes</t>
  </si>
  <si>
    <t>Postes d'émissions</t>
  </si>
  <si>
    <t>:Facultatif</t>
  </si>
  <si>
    <t>Autres émissions indirectes*</t>
  </si>
  <si>
    <t xml:space="preserve">* Catégorie d’émissions non concernée par l’obligation réglementaire </t>
  </si>
  <si>
    <t>Emissions indirectes associées à l’énergie</t>
  </si>
  <si>
    <t>CO2 b: CO2 issu de la biomasse</t>
  </si>
  <si>
    <t>Unité</t>
  </si>
  <si>
    <t>kWh</t>
  </si>
  <si>
    <t>Chaufferie Gaz (158 SE)</t>
  </si>
  <si>
    <t>Gaz (Gardanne)</t>
  </si>
  <si>
    <t>Carburant (gazoil)</t>
  </si>
  <si>
    <t>Carburant (SP)</t>
  </si>
  <si>
    <t>L</t>
  </si>
  <si>
    <t>année de référence 2010</t>
  </si>
  <si>
    <t>Emissions directes fugitives</t>
  </si>
  <si>
    <t>Electricité (158 SE)</t>
  </si>
  <si>
    <t>Electricité (MD SE)</t>
  </si>
  <si>
    <t>Electricité (Gardanne)</t>
  </si>
  <si>
    <t>Emissions indirectes liées à la consommation de chaleur, vapeur ou froid</t>
  </si>
  <si>
    <t>Emissions indirectes liées aux consommations de gaz</t>
  </si>
  <si>
    <t>Achat de produits ou services</t>
  </si>
  <si>
    <t>Transport de marchandises amont</t>
  </si>
  <si>
    <t>Missions en avion du personnel</t>
  </si>
  <si>
    <t>Missions en train du personnel</t>
  </si>
  <si>
    <t>Franchise amont</t>
  </si>
  <si>
    <t>Actifs en leasing amont</t>
  </si>
  <si>
    <t>Investissements</t>
  </si>
  <si>
    <t>Transports des visiteurs</t>
  </si>
  <si>
    <t>Incertitude</t>
  </si>
  <si>
    <t>Emissions indirectes liées aux consommations de gazole</t>
  </si>
  <si>
    <t>Carburant (gazole)</t>
  </si>
  <si>
    <t>Emissions indirectes liées aux consommations de SP</t>
  </si>
  <si>
    <t>Electricité (EF SE usages hors chauffage)</t>
  </si>
  <si>
    <t>Electricité (EF SE chauffage)</t>
  </si>
  <si>
    <t>Déchets incinérés (laboservice)</t>
  </si>
  <si>
    <t>Missions en train</t>
  </si>
  <si>
    <t>Missions en avion</t>
  </si>
  <si>
    <t>Recapitulatif</t>
  </si>
  <si>
    <t>Electricité spécifique (EF)</t>
  </si>
  <si>
    <t>Electricité (EF chauffage)</t>
  </si>
  <si>
    <t>Nombre de jours travaillés par etp</t>
  </si>
  <si>
    <t xml:space="preserve">Déchets </t>
  </si>
  <si>
    <t>Em. Ind. liées aux conso de gaz</t>
  </si>
  <si>
    <t>Em. Ind. liées aux conso de gazole</t>
  </si>
  <si>
    <t>Achat produits ou services</t>
  </si>
  <si>
    <t>Immobilisation biens</t>
  </si>
  <si>
    <t>Transport marchandises amont</t>
  </si>
  <si>
    <t>Déplacements internationaux  élèves</t>
  </si>
  <si>
    <t>Emissions directes des procédés hors énergie Gardanne</t>
  </si>
  <si>
    <t>Emissions directes des procédés hors énergie Saint-Etienne - CH4</t>
  </si>
  <si>
    <t>Emissions directes des procédés hors énergie Saint-Etienne - CHF3</t>
  </si>
  <si>
    <t>Emissions directes des procédés hors énergie Saint-Etienne - SF6</t>
  </si>
  <si>
    <t>Emissions directes des procédés hors énergie Saint-Etienne - CO2</t>
  </si>
  <si>
    <t>Emissions directes des procédés hors énergie Saint-Etienne - C3H8</t>
  </si>
  <si>
    <t>Emissions directes des procédés hors énergie Gardanne - SF6</t>
  </si>
  <si>
    <t>Emissions directes des procédés hors énergie Gardanne - CHF3</t>
  </si>
  <si>
    <t>Emissions directes des procédés hors énergie Gardanne - CH4</t>
  </si>
  <si>
    <t>Emissions directes des procédés hors énergie Gardanne - CO2</t>
  </si>
  <si>
    <t>Emissions directes des procédés hors énergie Gardanne - C3H8</t>
  </si>
  <si>
    <t>kg</t>
  </si>
  <si>
    <t>Emissions directes des procédés hors énergie Saint-Etienne</t>
  </si>
  <si>
    <t>Données pour Saint-Etienne seulement</t>
  </si>
  <si>
    <t>kW</t>
  </si>
  <si>
    <t>Déchets ferrailles destinés au recyclage</t>
  </si>
  <si>
    <t>Déplacements internationaux des élèves - séjours académiques</t>
  </si>
  <si>
    <t>Déplacements internationaux des élèves - stages</t>
  </si>
  <si>
    <t>Postes non pris en compte car information non disponible</t>
  </si>
  <si>
    <t>Postes non pris en compte car non obligatoires et complexes à estimer + forte incertitude</t>
  </si>
  <si>
    <t>Données non disponibles</t>
  </si>
  <si>
    <t>Incertitudes 2010</t>
  </si>
  <si>
    <t>Par etp</t>
  </si>
  <si>
    <t>kWh PCS</t>
  </si>
  <si>
    <t>Total scopes 1+2 (périmètre réglementaire)</t>
  </si>
  <si>
    <t>Données par etp non pertinente car jeu de données non complet pour Gardanne</t>
  </si>
  <si>
    <t>Climatisations à eau saint-Etienne</t>
  </si>
  <si>
    <t>Climatisations à air Saint-Etienne</t>
  </si>
  <si>
    <t>Emissions directes des climatisations à air Gardanne</t>
  </si>
  <si>
    <t>Emission GES (en tonnes)</t>
  </si>
  <si>
    <t>TOTAL
(TCO2e)</t>
  </si>
  <si>
    <t>KWh</t>
  </si>
  <si>
    <t>T</t>
  </si>
  <si>
    <t>KWh PCS</t>
  </si>
  <si>
    <t>Année de reporting
2014</t>
  </si>
  <si>
    <r>
      <t xml:space="preserve">Facteur d'émission (en tCO2e)
</t>
    </r>
    <r>
      <rPr>
        <b/>
        <sz val="10"/>
        <color rgb="FFFF0000"/>
        <rFont val="Arial"/>
        <family val="2"/>
      </rPr>
      <t>2010</t>
    </r>
  </si>
  <si>
    <t>PRG 2010</t>
  </si>
  <si>
    <t>PRG 2015</t>
  </si>
  <si>
    <t>Kg</t>
  </si>
  <si>
    <r>
      <t xml:space="preserve">Facteur d'émission (en tCO2e)
</t>
    </r>
    <r>
      <rPr>
        <b/>
        <sz val="10"/>
        <color rgb="FFFF0000"/>
        <rFont val="Arial"/>
        <family val="2"/>
      </rPr>
      <t>2015</t>
    </r>
  </si>
  <si>
    <t>Climatisations à air Gardanne</t>
  </si>
  <si>
    <r>
      <t xml:space="preserve">Nombre d'etp total 
</t>
    </r>
    <r>
      <rPr>
        <sz val="10"/>
        <rFont val="Arial"/>
        <family val="2"/>
      </rPr>
      <t>(St-Etienne + Gardanne) Personnels + Doctorants + MAD</t>
    </r>
  </si>
  <si>
    <t xml:space="preserve"> </t>
  </si>
  <si>
    <t>Soucre facteur d'émission : Base Carbone de l'ADEME</t>
  </si>
  <si>
    <r>
      <t xml:space="preserve">Déchets </t>
    </r>
    <r>
      <rPr>
        <b/>
        <sz val="10"/>
        <rFont val="Arial"/>
        <family val="2"/>
      </rPr>
      <t xml:space="preserve">cartons </t>
    </r>
    <r>
      <rPr>
        <sz val="10"/>
        <rFont val="Arial"/>
        <family val="2"/>
      </rPr>
      <t>destinés au recyclage</t>
    </r>
  </si>
  <si>
    <r>
      <t xml:space="preserve">Déchets </t>
    </r>
    <r>
      <rPr>
        <b/>
        <sz val="10"/>
        <rFont val="Arial"/>
        <family val="2"/>
      </rPr>
      <t xml:space="preserve">papiers </t>
    </r>
    <r>
      <rPr>
        <sz val="10"/>
        <rFont val="Arial"/>
        <family val="2"/>
      </rPr>
      <t>destinés au recyclage</t>
    </r>
  </si>
  <si>
    <r>
      <t xml:space="preserve">Déchets </t>
    </r>
    <r>
      <rPr>
        <b/>
        <sz val="10"/>
        <rFont val="Arial"/>
        <family val="2"/>
      </rPr>
      <t>papiers</t>
    </r>
    <r>
      <rPr>
        <sz val="10"/>
        <rFont val="Arial"/>
        <family val="2"/>
      </rPr>
      <t>-</t>
    </r>
    <r>
      <rPr>
        <b/>
        <sz val="10"/>
        <rFont val="Arial"/>
        <family val="2"/>
      </rPr>
      <t>cartons</t>
    </r>
    <r>
      <rPr>
        <sz val="10"/>
        <rFont val="Arial"/>
        <family val="2"/>
      </rPr>
      <t xml:space="preserve"> destinés au recyclage (pas de distinction entre le papier et le carton en 2010)</t>
    </r>
  </si>
  <si>
    <r>
      <t>Déchets</t>
    </r>
    <r>
      <rPr>
        <b/>
        <sz val="10"/>
        <rFont val="Arial"/>
        <family val="2"/>
      </rPr>
      <t xml:space="preserve"> papiers-cartons</t>
    </r>
    <r>
      <rPr>
        <sz val="10"/>
        <rFont val="Arial"/>
        <family val="2"/>
      </rPr>
      <t xml:space="preserve"> destinés au recyclage</t>
    </r>
  </si>
  <si>
    <r>
      <t xml:space="preserve">Déchets </t>
    </r>
    <r>
      <rPr>
        <b/>
        <sz val="10"/>
        <rFont val="Arial"/>
        <family val="2"/>
      </rPr>
      <t>papiers</t>
    </r>
    <r>
      <rPr>
        <sz val="10"/>
        <rFont val="Arial"/>
        <family val="2"/>
      </rPr>
      <t xml:space="preserve"> destinés au recyclage</t>
    </r>
  </si>
  <si>
    <t>Déchets incinérés (laboservice) Déchets industriels spéciaux</t>
  </si>
  <si>
    <t>€ /km</t>
  </si>
  <si>
    <t>Déchets incinérés (laboservice) Déchets d'activités de soins</t>
  </si>
  <si>
    <t xml:space="preserve">Déchets incinérés (laboservice) </t>
  </si>
  <si>
    <t>Incertitudes 2014</t>
  </si>
  <si>
    <t xml:space="preserve">Nombre d'etp </t>
  </si>
  <si>
    <t>KW</t>
  </si>
  <si>
    <t>€ / km</t>
  </si>
  <si>
    <t>CO2 
(tCO2e)</t>
  </si>
  <si>
    <t>CH4
(tCO2e)</t>
  </si>
  <si>
    <t>N2O
(tCO2e)</t>
  </si>
  <si>
    <t>CHF3
(tCO2e)</t>
  </si>
  <si>
    <t>SF6
(tCO2e)</t>
  </si>
  <si>
    <t>Total
(tCO2e)</t>
  </si>
  <si>
    <t>CO2
(tCO2e)</t>
  </si>
  <si>
    <t>NO2
(tCO2e)</t>
  </si>
  <si>
    <t>Emissions GES (en tCO2e)</t>
  </si>
  <si>
    <t>Emissions de GES (en tCO2e)</t>
  </si>
  <si>
    <t>Déchets mis en CET = DIB et poubelles SEM (158 et EF)</t>
  </si>
  <si>
    <t>km</t>
  </si>
  <si>
    <t>Emissions directes des climatisations à eau Saint-Etienne</t>
  </si>
  <si>
    <t xml:space="preserve">Données pour Saint-Etienne seulement </t>
  </si>
  <si>
    <t xml:space="preserve">
Fortes incertitudes concernant les gaz utilisés dans les laboratoires</t>
  </si>
  <si>
    <t xml:space="preserve">Données pour Saint-Etienne seulement
</t>
  </si>
  <si>
    <t>résultat non pertinent</t>
  </si>
  <si>
    <t>Année de reporting
2017</t>
  </si>
  <si>
    <t>Electricité (CIS)</t>
  </si>
  <si>
    <t>PRG 2017</t>
  </si>
  <si>
    <t>Année de référence 2010                                                                                                                                                                                      Données actualisées avec les facteurs d'émission de 2017</t>
  </si>
  <si>
    <t>Année de reporting 2014                                                                                                                                                                                      Données actualisées avec les facteurs d'émission de 2017</t>
  </si>
  <si>
    <t>Année de reporting 2017</t>
  </si>
  <si>
    <t>Electricité (CIS SE)</t>
  </si>
  <si>
    <t>Différence année de référence 2010 et année de reporting 2017
(TCO2e)</t>
  </si>
  <si>
    <t>Différence Bilan Carbone 2014 et Bilan Carbone 2017
(TCO2e)</t>
  </si>
  <si>
    <r>
      <t xml:space="preserve">Facteur d'émission (en tCO2e) </t>
    </r>
    <r>
      <rPr>
        <b/>
        <sz val="10"/>
        <color rgb="FFFF0000"/>
        <rFont val="Arial"/>
        <family val="2"/>
      </rPr>
      <t>2017</t>
    </r>
  </si>
  <si>
    <t>Immobilisation pour les bâtiments neuf construits (Gardanne-2008 et CIS-2015)</t>
  </si>
  <si>
    <t>m² SHON</t>
  </si>
  <si>
    <t>Immobilisation des véhicules</t>
  </si>
  <si>
    <t>Immobilisation des ordinateurs</t>
  </si>
  <si>
    <t>Legende</t>
  </si>
  <si>
    <t>Fait</t>
  </si>
  <si>
    <t>Demander</t>
  </si>
  <si>
    <t>Pas fait</t>
  </si>
  <si>
    <t>Mme GONDRAN</t>
  </si>
  <si>
    <t>Incertitudes 2017</t>
  </si>
  <si>
    <t>Emissions indirectes liées à la consommation de chaleur, vapeur ou froid - Achat de chaleur CIS</t>
  </si>
  <si>
    <t>Emissions directes des climatisations à air Saint-Etienne</t>
  </si>
  <si>
    <t>Déplacement en voiture</t>
  </si>
  <si>
    <t>Déplacement en train</t>
  </si>
  <si>
    <t>Déplacement en avion 0-1000km</t>
  </si>
  <si>
    <t>Déplacement en avion 2000 - 3000 km</t>
  </si>
  <si>
    <t>Déplacement en avion 1000 - 2000 km</t>
  </si>
  <si>
    <t>Déplacement en avion 3000 - 4000 km</t>
  </si>
  <si>
    <t>Déplacement en avion 4000 - 5000 km</t>
  </si>
  <si>
    <t>Déplacement en avion 5000 - 6000 km</t>
  </si>
  <si>
    <t>Déplacement en avion 6000 - 7000 km</t>
  </si>
  <si>
    <t>Déplacement en avion 8000 - 9000 km</t>
  </si>
  <si>
    <t>Déplacement en avion 9000 - 10000 km</t>
  </si>
  <si>
    <t>Catégories d'émissions</t>
  </si>
  <si>
    <t>Déplacement en avion 0 - 1000 km</t>
  </si>
  <si>
    <t>Déplacement en avion 7000 - 8000 km</t>
  </si>
  <si>
    <t>Déplacement en avion 10000 - 11000 km</t>
  </si>
  <si>
    <t>Déplacement en avion &gt; 11000 km</t>
  </si>
  <si>
    <t>Déplacement en avion  10000 - 11000 km</t>
  </si>
  <si>
    <t>Déplacement en avion 10000 -11000 km</t>
  </si>
  <si>
    <t>Emissions indirectes liées aux consommations d'essence SP</t>
  </si>
  <si>
    <t>Imbolisation de vehicules</t>
  </si>
  <si>
    <t xml:space="preserve">Comment faire les differences </t>
  </si>
  <si>
    <t>Doute</t>
  </si>
  <si>
    <t xml:space="preserve">Données pour élèves de Saint-Etienne seulement + Prise en compte des etudiants etrangere qui viennent à l'EMSE
</t>
  </si>
  <si>
    <t>Premier fois qu'on le fait donc pas possible de le comparer avec les bilans precedents</t>
  </si>
  <si>
    <t>Voyage des étudiants internationaux pour venir à l'EMSE</t>
  </si>
  <si>
    <t>Voyage des étudiants internationaux pour venir à Saint-Etienne + Gardanne</t>
  </si>
  <si>
    <t>Déplacements (nationaux+internationaux) des élèves - stages</t>
  </si>
  <si>
    <t>Estimation de 12,17 kWh/100km</t>
  </si>
  <si>
    <t xml:space="preserve">Electricité voiture service </t>
  </si>
  <si>
    <t>Ordinateur fixe + écran plat</t>
  </si>
  <si>
    <t>Ordinateur portable</t>
  </si>
  <si>
    <t xml:space="preserve">Ecran </t>
  </si>
  <si>
    <t>appareils</t>
  </si>
  <si>
    <t xml:space="preserve">Missions en avion du personnel </t>
  </si>
  <si>
    <t>Ordinateur fixe +ecran plat</t>
  </si>
  <si>
    <t xml:space="preserve">Ordinateur portable </t>
  </si>
  <si>
    <t xml:space="preserve">Immobilisation des ordinateurs </t>
  </si>
  <si>
    <t>BILAN CARBONE 2017 DETAILLE</t>
  </si>
  <si>
    <t>unités</t>
  </si>
  <si>
    <t>Déplacements internationaux des élèves - séjours académiques Saint-Etienne et Gardanne</t>
  </si>
  <si>
    <t>Déplacements nationaux + internationaux des élèves - stages Saint-Etienne + Gardanne</t>
  </si>
  <si>
    <t>Déplacement domicile/travail du personnel en voiture</t>
  </si>
  <si>
    <t>Déplacement domicile/travail du personnel en train</t>
  </si>
  <si>
    <t>Déplacement domicile/travail du personnel en bus</t>
  </si>
  <si>
    <t>Déplacement domicile/travail du personnel en moto</t>
  </si>
  <si>
    <t>Déplacement voiture domicile/ école des eleves</t>
  </si>
  <si>
    <t xml:space="preserve">km </t>
  </si>
  <si>
    <t>Déplacements domicile / travail du personnel  de St-Etienne en voiture</t>
  </si>
  <si>
    <t>Déplacements domicile / travail du personnel de St-Etienne en train</t>
  </si>
  <si>
    <t>Déplacements domicile / travail du personnel de St-Etienne en bus</t>
  </si>
  <si>
    <t>Déplacements domicile / travail du personnel de St-Etienne en moto</t>
  </si>
  <si>
    <t>Déplacements domicile / école en voiture des élèves</t>
  </si>
  <si>
    <t>Emissions de GES (en Tonnes)</t>
  </si>
  <si>
    <t>Année de référence 2010
Données actualisées avec les facteurs d'émission de 2015</t>
  </si>
  <si>
    <t>Année de reporting 2014</t>
  </si>
  <si>
    <r>
      <t>Facteur d'émission (en tCO2e)</t>
    </r>
    <r>
      <rPr>
        <b/>
        <sz val="10"/>
        <color rgb="FFFF0000"/>
        <rFont val="Arial"/>
        <family val="2"/>
      </rPr>
      <t xml:space="preserve">
2017</t>
    </r>
  </si>
  <si>
    <t>Total
(TCO2e)</t>
  </si>
  <si>
    <t>CO2
(Tonnes)</t>
  </si>
  <si>
    <t>CH4
(Tonnes)</t>
  </si>
  <si>
    <t>NO2
(Tonnes)</t>
  </si>
  <si>
    <t>CHF3
(Tonnes)</t>
  </si>
  <si>
    <t>SF6
(Tonnes)</t>
  </si>
  <si>
    <r>
      <t>Facteur d'émission (en tCO2e)</t>
    </r>
    <r>
      <rPr>
        <b/>
        <sz val="11"/>
        <color rgb="FFFF0000"/>
        <rFont val="Calibri"/>
        <family val="2"/>
        <scheme val="minor"/>
      </rPr>
      <t xml:space="preserve">
2017</t>
    </r>
  </si>
  <si>
    <t>différence année de référence 2010 et année du bilan
(TCO2e)</t>
  </si>
  <si>
    <t>différence année de référence 2014 et année du bilan
(TCO2e)</t>
  </si>
  <si>
    <t>Autres émissions indirectes *</t>
  </si>
  <si>
    <t>Choix FE ordures ménagères : Selon ADEME OM composées de 32% déchets putrescibles 21,5% papiers/cartons 11,2% plastiques 10,6% textiles 25,5 % verres, métaux et autres incombustibles divers</t>
  </si>
  <si>
    <t>Déplacements domicile / travail</t>
  </si>
  <si>
    <t>Données 2009 pour Saint-Etienne et 2015 Gardanne</t>
  </si>
  <si>
    <t>Emissions associées aux transports internationaux</t>
  </si>
  <si>
    <t>Déplacements des élèves étrangers pour venir à Saint-Etienne</t>
  </si>
  <si>
    <t>Autres émissions indirectes (périmètre constant sur 2017 - 2017)*</t>
  </si>
  <si>
    <t>Total scopes 1+2+3 (incluant postes ajoutés en 2017)</t>
  </si>
  <si>
    <t>DJU Saint-Etienne</t>
  </si>
  <si>
    <t>Source : https://www.infoclimat.fr/climatologie/annee/2010/saint-etienne-boutheon/valeurs/07475.html</t>
  </si>
  <si>
    <t>https://www.infoclimat.fr/climatologie/annee/2017/marseille-marignane-marseille-provence/valeurs/07650.html</t>
  </si>
  <si>
    <t>DJU Gardanne</t>
  </si>
  <si>
    <t>Emissions 2017</t>
  </si>
  <si>
    <t>Emissions 2010</t>
  </si>
  <si>
    <t>Emissions 2014</t>
  </si>
  <si>
    <t>Electricité EF (spécifique + chauffage)</t>
  </si>
  <si>
    <t>Variation 2017-2014</t>
  </si>
  <si>
    <t>Chauffage CIS</t>
  </si>
  <si>
    <t>Déplacements élèves étrangers accueillis</t>
  </si>
  <si>
    <t>Achat chaleur (CIS)</t>
  </si>
  <si>
    <t>Emissions directes procédés Gardanne</t>
  </si>
  <si>
    <t>Emissions directes procédés Saint-Etienne</t>
  </si>
  <si>
    <t>Surface chauffée (m²)</t>
  </si>
  <si>
    <t>158 CF</t>
  </si>
  <si>
    <t>CMP Gardanne</t>
  </si>
  <si>
    <t>EF Saint-Etienne</t>
  </si>
  <si>
    <t>CIS</t>
  </si>
  <si>
    <t>Emissions (t CO2)  gaz 158 CF Saint-Etienne</t>
  </si>
  <si>
    <t>Emissions  / DJU</t>
  </si>
  <si>
    <t>Emissions (kg CO2)  / m²</t>
  </si>
  <si>
    <t>Emissions (kg CO2)  / DJU / m²</t>
  </si>
  <si>
    <t>Emissions (kg CO2) /DJU  Espace Fauriel</t>
  </si>
  <si>
    <t>Emissions (kg CO2)  gaz Gardanne</t>
  </si>
  <si>
    <t>Emissions (kg CO2) / DJU</t>
  </si>
  <si>
    <t>Emissions (t CO2) chauffage Espace Fauriel</t>
  </si>
  <si>
    <t>Emissions associées au chauffage des différents sites de Mines Saint-Etienne</t>
  </si>
  <si>
    <t>kg de CO2/DJU</t>
  </si>
  <si>
    <t>tonnes CO2</t>
  </si>
  <si>
    <t>kg de CO2/DJU/m²</t>
  </si>
  <si>
    <t>Emissions (kg CO2) /DJU  CIS</t>
  </si>
  <si>
    <t>kWh/DJU</t>
  </si>
  <si>
    <t>Consommations énergétique (kWh)  gaz 158 CF Saint-Etienne</t>
  </si>
  <si>
    <t>Consommation énergétique (kWh)  / m²</t>
  </si>
  <si>
    <t>kWh/m²</t>
  </si>
  <si>
    <t>consommation (kWh)  / DJU / m²</t>
  </si>
  <si>
    <t>kWh/DJU/m²</t>
  </si>
  <si>
    <t>Consommation  / DJU</t>
  </si>
  <si>
    <t>Consommation (kWh) chauffage Espace Fauriel</t>
  </si>
  <si>
    <t>Consommations (kWh) /DJU  Espace Fauriel</t>
  </si>
  <si>
    <t>Consommations (kWh)  / DJU / m²</t>
  </si>
  <si>
    <t>Consommations (kWh)   / m²</t>
  </si>
  <si>
    <t>Consommations (kWh)  /DJU  CIS</t>
  </si>
  <si>
    <t>Consommations (kWh)  gaz Gardanne</t>
  </si>
  <si>
    <t>Consommations (kWh) / DJU</t>
  </si>
  <si>
    <t>Consommations (kWh) / DJU / m²</t>
  </si>
  <si>
    <t>Emissions de GES associées au chauffage des différents sites de Mines Saint-Etienne</t>
  </si>
  <si>
    <t>10 fois plus élevé que les autres sites du fait de la salle blanche</t>
  </si>
  <si>
    <t>Déchets mis en CET dans les poubelles SEM (158 et EF)</t>
  </si>
  <si>
    <t>Déchets valorisés dans les poubelles SEM (158 et EF) (DIB)</t>
  </si>
  <si>
    <t>Déchets mis en CET = OM</t>
  </si>
  <si>
    <r>
      <t xml:space="preserve">Déchets </t>
    </r>
    <r>
      <rPr>
        <b/>
        <sz val="10"/>
        <rFont val="Arial"/>
        <family val="2"/>
      </rPr>
      <t>cartons</t>
    </r>
    <r>
      <rPr>
        <sz val="10"/>
        <rFont val="Arial"/>
        <family val="2"/>
      </rPr>
      <t xml:space="preserve"> destinés au recyclage</t>
    </r>
  </si>
  <si>
    <t>Déchets valorisés (poubelles jaunes)</t>
  </si>
  <si>
    <t>Pas de données</t>
  </si>
  <si>
    <t>Projection 2030</t>
  </si>
  <si>
    <t>marges de réduction</t>
  </si>
  <si>
    <t>Projections 2030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</si>
</sst>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 _€_-;\-* #,##0.00\ _€_-;_-* &quot;-&quot;??\ _€_-;_-@_-"/>
    <numFmt numFmtId="164" formatCode="0.0E+00"/>
    <numFmt numFmtId="165" formatCode="0.0"/>
    <numFmt numFmtId="166" formatCode="0.000"/>
    <numFmt numFmtId="167" formatCode="0.0000"/>
    <numFmt numFmtId="168" formatCode="0.0000000"/>
    <numFmt numFmtId="169" formatCode="_-* #,##0\ _€_-;\-* #,##0\ _€_-;_-* &quot;-&quot;??\ _€_-;_-@_-"/>
  </numFmts>
  <fonts count="28" x14ac:knownFonts="1">
    <font>
      <sz val="10"/>
      <name val="Arial"/>
    </font>
    <font>
      <sz val="11"/>
      <color theme="1"/>
      <name val="Calibri"/>
      <family val="2"/>
      <scheme val="minor"/>
    </font>
    <font>
      <b/>
      <sz val="10"/>
      <name val="Arial"/>
      <family val="2"/>
    </font>
    <font>
      <b/>
      <sz val="8"/>
      <name val="Arial"/>
      <family val="2"/>
    </font>
    <font>
      <sz val="8"/>
      <name val="Arial"/>
      <family val="2"/>
    </font>
    <font>
      <sz val="10"/>
      <name val="Verdana"/>
      <family val="2"/>
    </font>
    <font>
      <sz val="10"/>
      <name val="Arial"/>
      <family val="2"/>
    </font>
    <font>
      <b/>
      <i/>
      <sz val="10"/>
      <name val="Arial"/>
      <family val="2"/>
    </font>
    <font>
      <i/>
      <sz val="10"/>
      <name val="Arial"/>
      <family val="2"/>
    </font>
    <font>
      <sz val="10"/>
      <color indexed="81"/>
      <name val="Tahoma"/>
      <family val="2"/>
    </font>
    <font>
      <b/>
      <sz val="10"/>
      <color indexed="81"/>
      <name val="Tahoma"/>
      <family val="2"/>
    </font>
    <font>
      <sz val="10"/>
      <color rgb="FFFF0000"/>
      <name val="Arial"/>
      <family val="2"/>
    </font>
    <font>
      <sz val="10"/>
      <color rgb="FF336600"/>
      <name val="Arial"/>
      <family val="2"/>
    </font>
    <font>
      <b/>
      <sz val="10"/>
      <color rgb="FF336600"/>
      <name val="Arial"/>
      <family val="2"/>
    </font>
    <font>
      <sz val="9"/>
      <color indexed="81"/>
      <name val="Tahoma"/>
      <family val="2"/>
    </font>
    <font>
      <b/>
      <sz val="9"/>
      <color indexed="81"/>
      <name val="Tahoma"/>
      <family val="2"/>
    </font>
    <font>
      <b/>
      <sz val="10"/>
      <color rgb="FFFF0000"/>
      <name val="Arial"/>
      <family val="2"/>
    </font>
    <font>
      <sz val="10"/>
      <color theme="1" tint="0.34998626667073579"/>
      <name val="Arial"/>
      <family val="2"/>
    </font>
    <font>
      <sz val="9"/>
      <name val="Arial"/>
      <family val="2"/>
    </font>
    <font>
      <sz val="10"/>
      <name val="Arial"/>
      <family val="2"/>
    </font>
    <font>
      <sz val="10"/>
      <color rgb="FF00CC00"/>
      <name val="Arial"/>
      <family val="2"/>
    </font>
    <font>
      <b/>
      <sz val="16"/>
      <name val="Arial"/>
      <family val="2"/>
    </font>
    <font>
      <b/>
      <sz val="18"/>
      <name val="Arial"/>
      <family val="2"/>
    </font>
    <font>
      <b/>
      <sz val="11"/>
      <name val="Calibri"/>
      <family val="2"/>
      <scheme val="minor"/>
    </font>
    <font>
      <b/>
      <sz val="11"/>
      <color rgb="FFFF0000"/>
      <name val="Calibri"/>
      <family val="2"/>
      <scheme val="minor"/>
    </font>
    <font>
      <sz val="11"/>
      <name val="Calibri"/>
      <family val="2"/>
      <scheme val="minor"/>
    </font>
    <font>
      <sz val="10"/>
      <name val="Arial"/>
      <family val="2"/>
    </font>
    <font>
      <sz val="11"/>
      <color rgb="FFFF0000"/>
      <name val="Calibri"/>
      <family val="2"/>
      <scheme val="minor"/>
    </font>
  </fonts>
  <fills count="40">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gray0625"/>
    </fill>
    <fill>
      <patternFill patternType="solid">
        <fgColor indexed="22"/>
        <bgColor indexed="64"/>
      </patternFill>
    </fill>
    <fill>
      <patternFill patternType="solid">
        <fgColor rgb="FFFFFF00"/>
        <bgColor indexed="64"/>
      </patternFill>
    </fill>
    <fill>
      <patternFill patternType="solid">
        <fgColor theme="9" tint="0.79998168889431442"/>
        <bgColor indexed="64"/>
      </patternFill>
    </fill>
    <fill>
      <patternFill patternType="solid">
        <fgColor rgb="FF99CCFF"/>
        <bgColor indexed="64"/>
      </patternFill>
    </fill>
    <fill>
      <patternFill patternType="gray0625">
        <bgColor theme="0"/>
      </patternFill>
    </fill>
    <fill>
      <patternFill patternType="solid">
        <fgColor rgb="FFFFFF99"/>
        <bgColor indexed="64"/>
      </patternFill>
    </fill>
    <fill>
      <patternFill patternType="solid">
        <fgColor rgb="FFCCFF99"/>
        <bgColor indexed="64"/>
      </patternFill>
    </fill>
    <fill>
      <patternFill patternType="solid">
        <fgColor rgb="FF99CC00"/>
        <bgColor indexed="64"/>
      </patternFill>
    </fill>
    <fill>
      <patternFill patternType="solid">
        <fgColor rgb="FFCCFFCC"/>
        <bgColor indexed="64"/>
      </patternFill>
    </fill>
    <fill>
      <patternFill patternType="solid">
        <fgColor theme="2" tint="-0.249977111117893"/>
        <bgColor indexed="64"/>
      </patternFill>
    </fill>
    <fill>
      <patternFill patternType="solid">
        <fgColor theme="5" tint="0.39997558519241921"/>
        <bgColor indexed="64"/>
      </patternFill>
    </fill>
    <fill>
      <patternFill patternType="gray0625">
        <bgColor theme="1" tint="0.14999847407452621"/>
      </patternFill>
    </fill>
    <fill>
      <patternFill patternType="solid">
        <fgColor theme="1" tint="0.249977111117893"/>
        <bgColor indexed="64"/>
      </patternFill>
    </fill>
    <fill>
      <patternFill patternType="solid">
        <fgColor theme="1" tint="0.499984740745262"/>
        <bgColor indexed="64"/>
      </patternFill>
    </fill>
    <fill>
      <patternFill patternType="gray0625">
        <bgColor theme="1" tint="0.499984740745262"/>
      </patternFill>
    </fill>
    <fill>
      <patternFill patternType="gray0625">
        <bgColor theme="1" tint="0.249977111117893"/>
      </patternFill>
    </fill>
    <fill>
      <patternFill patternType="gray0625">
        <bgColor rgb="FF99CCFF"/>
      </patternFill>
    </fill>
    <fill>
      <patternFill patternType="gray0625">
        <bgColor theme="2" tint="-0.249977111117893"/>
      </patternFill>
    </fill>
    <fill>
      <patternFill patternType="gray0625">
        <bgColor theme="2" tint="-9.9978637043366805E-2"/>
      </patternFill>
    </fill>
    <fill>
      <patternFill patternType="solid">
        <fgColor theme="0" tint="-0.14999847407452621"/>
        <bgColor indexed="64"/>
      </patternFill>
    </fill>
    <fill>
      <patternFill patternType="gray0625">
        <bgColor rgb="FFCCFF99"/>
      </patternFill>
    </fill>
    <fill>
      <patternFill patternType="gray0625">
        <bgColor rgb="FFFFFF00"/>
      </patternFill>
    </fill>
    <fill>
      <patternFill patternType="solid">
        <fgColor rgb="FFFF0000"/>
        <bgColor indexed="64"/>
      </patternFill>
    </fill>
    <fill>
      <patternFill patternType="solid">
        <fgColor theme="0" tint="-0.499984740745262"/>
        <bgColor indexed="64"/>
      </patternFill>
    </fill>
    <fill>
      <patternFill patternType="solid">
        <fgColor theme="9" tint="0.39997558519241921"/>
        <bgColor indexed="64"/>
      </patternFill>
    </fill>
    <fill>
      <patternFill patternType="solid">
        <fgColor rgb="FF7030A0"/>
        <bgColor indexed="64"/>
      </patternFill>
    </fill>
    <fill>
      <patternFill patternType="gray0625">
        <bgColor theme="0" tint="-0.499984740745262"/>
      </patternFill>
    </fill>
    <fill>
      <patternFill patternType="solid">
        <fgColor rgb="FFFFC000"/>
        <bgColor indexed="64"/>
      </patternFill>
    </fill>
    <fill>
      <patternFill patternType="gray0625">
        <bgColor theme="3" tint="0.39997558519241921"/>
      </patternFill>
    </fill>
    <fill>
      <patternFill patternType="solid">
        <fgColor theme="1"/>
        <bgColor indexed="64"/>
      </patternFill>
    </fill>
    <fill>
      <patternFill patternType="gray0625">
        <bgColor theme="1"/>
      </patternFill>
    </fill>
    <fill>
      <patternFill patternType="gray0625">
        <bgColor theme="7" tint="0.39997558519241921"/>
      </patternFill>
    </fill>
    <fill>
      <patternFill patternType="solid">
        <fgColor theme="7" tint="0.39997558519241921"/>
        <bgColor indexed="64"/>
      </patternFill>
    </fill>
    <fill>
      <patternFill patternType="gray0625">
        <bgColor theme="0" tint="-0.14999847407452621"/>
      </patternFill>
    </fill>
  </fills>
  <borders count="76">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medium">
        <color indexed="64"/>
      </bottom>
      <diagonal/>
    </border>
    <border>
      <left style="thin">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style="thin">
        <color auto="1"/>
      </right>
      <top/>
      <bottom/>
      <diagonal/>
    </border>
    <border>
      <left/>
      <right style="thin">
        <color indexed="64"/>
      </right>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s>
  <cellStyleXfs count="4">
    <xf numFmtId="0" fontId="0" fillId="0" borderId="0"/>
    <xf numFmtId="0" fontId="1" fillId="0" borderId="0"/>
    <xf numFmtId="43" fontId="19" fillId="0" borderId="0" applyFont="0" applyFill="0" applyBorder="0" applyAlignment="0" applyProtection="0"/>
    <xf numFmtId="9" fontId="26" fillId="0" borderId="0" applyFont="0" applyFill="0" applyBorder="0" applyAlignment="0" applyProtection="0"/>
  </cellStyleXfs>
  <cellXfs count="1155">
    <xf numFmtId="0" fontId="0" fillId="0" borderId="0" xfId="0"/>
    <xf numFmtId="0" fontId="0" fillId="0" borderId="0" xfId="0" applyAlignment="1">
      <alignment wrapText="1"/>
    </xf>
    <xf numFmtId="0" fontId="2" fillId="0" borderId="0" xfId="0" applyFont="1" applyAlignment="1">
      <alignment wrapText="1"/>
    </xf>
    <xf numFmtId="0" fontId="2" fillId="2" borderId="0" xfId="0" applyFont="1" applyFill="1" applyAlignment="1">
      <alignment wrapText="1"/>
    </xf>
    <xf numFmtId="0" fontId="0" fillId="2" borderId="0" xfId="0" applyFill="1" applyAlignment="1">
      <alignment wrapText="1"/>
    </xf>
    <xf numFmtId="0" fontId="0" fillId="3" borderId="0" xfId="0" applyFill="1" applyAlignment="1">
      <alignment wrapText="1"/>
    </xf>
    <xf numFmtId="0" fontId="2" fillId="3" borderId="0" xfId="0" applyFont="1" applyFill="1" applyAlignment="1">
      <alignment wrapText="1"/>
    </xf>
    <xf numFmtId="0" fontId="2" fillId="4" borderId="0" xfId="0" applyFont="1" applyFill="1" applyAlignment="1">
      <alignment wrapText="1"/>
    </xf>
    <xf numFmtId="0" fontId="0" fillId="4" borderId="0" xfId="0" applyFill="1" applyAlignment="1">
      <alignment wrapText="1"/>
    </xf>
    <xf numFmtId="0" fontId="0" fillId="0" borderId="0" xfId="0" applyBorder="1" applyAlignment="1">
      <alignment wrapText="1"/>
    </xf>
    <xf numFmtId="0" fontId="3" fillId="2" borderId="7" xfId="0" applyFont="1" applyFill="1" applyBorder="1" applyAlignment="1">
      <alignment wrapText="1"/>
    </xf>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3" fillId="5" borderId="13" xfId="0" applyFont="1" applyFill="1" applyBorder="1" applyAlignment="1">
      <alignment wrapText="1"/>
    </xf>
    <xf numFmtId="0" fontId="5" fillId="0" borderId="0" xfId="0" applyFont="1"/>
    <xf numFmtId="0" fontId="0" fillId="0" borderId="0" xfId="0" applyAlignment="1"/>
    <xf numFmtId="0" fontId="0" fillId="6" borderId="0" xfId="0" applyFill="1" applyAlignment="1">
      <alignment wrapText="1"/>
    </xf>
    <xf numFmtId="0" fontId="2" fillId="6" borderId="0" xfId="0" applyFont="1" applyFill="1" applyAlignment="1">
      <alignment wrapText="1"/>
    </xf>
    <xf numFmtId="0" fontId="6" fillId="4" borderId="4" xfId="0" applyFont="1" applyFill="1" applyBorder="1" applyAlignment="1">
      <alignment horizontal="center" wrapText="1"/>
    </xf>
    <xf numFmtId="0" fontId="0" fillId="0" borderId="0" xfId="0" applyFill="1" applyAlignment="1">
      <alignment wrapText="1"/>
    </xf>
    <xf numFmtId="0" fontId="2" fillId="8" borderId="14" xfId="0" applyFont="1" applyFill="1" applyBorder="1" applyAlignment="1">
      <alignment horizontal="center" vertical="center" wrapText="1"/>
    </xf>
    <xf numFmtId="0" fontId="2" fillId="8" borderId="22"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8" xfId="0" applyFont="1" applyBorder="1" applyAlignment="1">
      <alignment horizontal="center" vertical="center" wrapText="1"/>
    </xf>
    <xf numFmtId="0" fontId="0" fillId="7" borderId="0" xfId="0" applyFill="1" applyAlignment="1">
      <alignment wrapText="1"/>
    </xf>
    <xf numFmtId="0" fontId="6" fillId="0" borderId="0" xfId="0" applyFont="1" applyAlignment="1">
      <alignment wrapText="1"/>
    </xf>
    <xf numFmtId="0" fontId="6" fillId="7" borderId="0" xfId="0" applyFont="1" applyFill="1" applyAlignment="1"/>
    <xf numFmtId="0" fontId="0" fillId="7" borderId="0" xfId="0" applyFill="1"/>
    <xf numFmtId="0" fontId="13" fillId="12" borderId="0" xfId="0" applyFont="1" applyFill="1" applyAlignment="1"/>
    <xf numFmtId="0" fontId="0" fillId="12" borderId="0" xfId="0" applyFill="1" applyAlignment="1">
      <alignment wrapText="1"/>
    </xf>
    <xf numFmtId="0" fontId="0" fillId="12" borderId="0" xfId="0" applyFill="1"/>
    <xf numFmtId="1" fontId="2" fillId="11" borderId="21" xfId="0" applyNumberFormat="1" applyFont="1" applyFill="1" applyBorder="1"/>
    <xf numFmtId="0" fontId="0" fillId="13" borderId="21" xfId="0" applyFill="1" applyBorder="1" applyAlignment="1">
      <alignment wrapText="1"/>
    </xf>
    <xf numFmtId="0" fontId="2" fillId="13" borderId="21" xfId="0" applyFont="1" applyFill="1" applyBorder="1"/>
    <xf numFmtId="1" fontId="0" fillId="13" borderId="21" xfId="0" applyNumberFormat="1" applyFill="1" applyBorder="1"/>
    <xf numFmtId="2" fontId="0" fillId="13" borderId="21" xfId="0" applyNumberFormat="1" applyFill="1" applyBorder="1"/>
    <xf numFmtId="0" fontId="2" fillId="0" borderId="0" xfId="0" applyFont="1" applyFill="1" applyAlignment="1">
      <alignment wrapText="1"/>
    </xf>
    <xf numFmtId="0" fontId="6" fillId="0" borderId="0" xfId="0" applyFont="1" applyFill="1" applyAlignment="1">
      <alignment wrapText="1"/>
    </xf>
    <xf numFmtId="0" fontId="0" fillId="0" borderId="31" xfId="0" applyFill="1" applyBorder="1" applyAlignment="1">
      <alignment vertical="center" wrapText="1"/>
    </xf>
    <xf numFmtId="0" fontId="0" fillId="14" borderId="1" xfId="0" applyFill="1" applyBorder="1" applyAlignment="1">
      <alignment wrapText="1"/>
    </xf>
    <xf numFmtId="0" fontId="0" fillId="14" borderId="21" xfId="0" applyFill="1" applyBorder="1" applyAlignment="1">
      <alignment wrapText="1"/>
    </xf>
    <xf numFmtId="0" fontId="0" fillId="11" borderId="1" xfId="0" applyFill="1" applyBorder="1" applyAlignment="1">
      <alignment wrapText="1"/>
    </xf>
    <xf numFmtId="0" fontId="0" fillId="14" borderId="32" xfId="0" applyFill="1" applyBorder="1" applyAlignment="1">
      <alignment wrapText="1"/>
    </xf>
    <xf numFmtId="0" fontId="0" fillId="11" borderId="5" xfId="0" applyFill="1" applyBorder="1" applyAlignment="1">
      <alignment wrapText="1"/>
    </xf>
    <xf numFmtId="0" fontId="2" fillId="14" borderId="9" xfId="0" applyFont="1" applyFill="1" applyBorder="1" applyAlignment="1">
      <alignment wrapText="1"/>
    </xf>
    <xf numFmtId="0" fontId="2" fillId="11" borderId="9" xfId="0" applyFont="1" applyFill="1" applyBorder="1" applyAlignment="1">
      <alignment wrapText="1"/>
    </xf>
    <xf numFmtId="0" fontId="0" fillId="0" borderId="0" xfId="0" applyFill="1" applyBorder="1" applyAlignment="1">
      <alignment wrapText="1"/>
    </xf>
    <xf numFmtId="0" fontId="0" fillId="14" borderId="36" xfId="0" applyFill="1" applyBorder="1" applyAlignment="1">
      <alignment wrapText="1"/>
    </xf>
    <xf numFmtId="0" fontId="2" fillId="8" borderId="9" xfId="0" applyFont="1" applyFill="1" applyBorder="1" applyAlignment="1">
      <alignment wrapText="1"/>
    </xf>
    <xf numFmtId="0" fontId="2" fillId="0" borderId="11" xfId="0" applyFont="1" applyFill="1" applyBorder="1" applyAlignment="1">
      <alignment horizontal="center" vertical="center" wrapText="1"/>
    </xf>
    <xf numFmtId="0" fontId="2" fillId="14" borderId="41" xfId="0" applyFont="1" applyFill="1" applyBorder="1" applyAlignment="1">
      <alignment wrapText="1"/>
    </xf>
    <xf numFmtId="0" fontId="2" fillId="14" borderId="22" xfId="0" applyFont="1" applyFill="1" applyBorder="1" applyAlignment="1">
      <alignment wrapText="1"/>
    </xf>
    <xf numFmtId="0" fontId="6" fillId="14" borderId="21" xfId="0" applyFont="1" applyFill="1" applyBorder="1" applyAlignment="1">
      <alignment wrapText="1"/>
    </xf>
    <xf numFmtId="0" fontId="6" fillId="11" borderId="23" xfId="0" applyFont="1" applyFill="1" applyBorder="1" applyAlignment="1">
      <alignment wrapText="1"/>
    </xf>
    <xf numFmtId="0" fontId="6" fillId="11" borderId="21" xfId="0" applyFont="1" applyFill="1" applyBorder="1" applyAlignment="1">
      <alignment wrapText="1"/>
    </xf>
    <xf numFmtId="0" fontId="0" fillId="14" borderId="35" xfId="0" applyFill="1" applyBorder="1" applyAlignment="1">
      <alignment wrapText="1"/>
    </xf>
    <xf numFmtId="0" fontId="2" fillId="14" borderId="47" xfId="0" applyFont="1" applyFill="1" applyBorder="1" applyAlignment="1">
      <alignment wrapText="1"/>
    </xf>
    <xf numFmtId="0" fontId="0" fillId="11" borderId="47" xfId="0" applyFill="1" applyBorder="1" applyAlignment="1">
      <alignment wrapText="1"/>
    </xf>
    <xf numFmtId="3" fontId="0" fillId="11" borderId="1" xfId="0" applyNumberFormat="1" applyFill="1" applyBorder="1" applyAlignment="1">
      <alignment wrapText="1"/>
    </xf>
    <xf numFmtId="11" fontId="6" fillId="16" borderId="3" xfId="0" applyNumberFormat="1" applyFont="1" applyFill="1" applyBorder="1" applyAlignment="1">
      <alignment wrapText="1"/>
    </xf>
    <xf numFmtId="11" fontId="0" fillId="16" borderId="4" xfId="0" applyNumberFormat="1" applyFill="1" applyBorder="1" applyAlignment="1">
      <alignment wrapText="1"/>
    </xf>
    <xf numFmtId="0" fontId="2" fillId="16" borderId="9" xfId="0" applyFont="1" applyFill="1" applyBorder="1" applyAlignment="1">
      <alignment wrapText="1"/>
    </xf>
    <xf numFmtId="0" fontId="0" fillId="16" borderId="42" xfId="0" applyFill="1" applyBorder="1" applyAlignment="1">
      <alignment wrapText="1"/>
    </xf>
    <xf numFmtId="0" fontId="0" fillId="16" borderId="9" xfId="0" applyFill="1" applyBorder="1" applyAlignment="1">
      <alignment wrapText="1"/>
    </xf>
    <xf numFmtId="11" fontId="0" fillId="16" borderId="3" xfId="0" applyNumberFormat="1" applyFill="1" applyBorder="1" applyAlignment="1">
      <alignment wrapText="1"/>
    </xf>
    <xf numFmtId="11" fontId="6" fillId="16" borderId="49" xfId="0" applyNumberFormat="1" applyFont="1" applyFill="1" applyBorder="1" applyAlignment="1">
      <alignment wrapText="1"/>
    </xf>
    <xf numFmtId="0" fontId="2" fillId="16" borderId="22" xfId="0" applyFont="1" applyFill="1" applyBorder="1" applyAlignment="1">
      <alignment horizontal="center" vertical="center" wrapText="1"/>
    </xf>
    <xf numFmtId="0" fontId="2" fillId="16" borderId="8" xfId="0" applyFont="1" applyFill="1" applyBorder="1" applyAlignment="1">
      <alignment horizontal="center" vertical="center" wrapText="1"/>
    </xf>
    <xf numFmtId="11" fontId="6" fillId="8" borderId="7" xfId="0" applyNumberFormat="1" applyFont="1" applyFill="1" applyBorder="1" applyAlignment="1">
      <alignment horizontal="center" vertical="center" wrapText="1"/>
    </xf>
    <xf numFmtId="11" fontId="6" fillId="8" borderId="22" xfId="0" applyNumberFormat="1" applyFont="1" applyFill="1" applyBorder="1" applyAlignment="1">
      <alignment horizontal="center" vertical="center" wrapText="1"/>
    </xf>
    <xf numFmtId="11" fontId="2" fillId="16" borderId="41" xfId="0" applyNumberFormat="1" applyFont="1" applyFill="1" applyBorder="1" applyAlignment="1">
      <alignment horizontal="center" vertical="center" wrapText="1"/>
    </xf>
    <xf numFmtId="11" fontId="2" fillId="16" borderId="22" xfId="0" applyNumberFormat="1" applyFont="1" applyFill="1" applyBorder="1" applyAlignment="1">
      <alignment horizontal="center" vertical="center" wrapText="1"/>
    </xf>
    <xf numFmtId="0" fontId="0" fillId="0" borderId="0" xfId="0" applyBorder="1"/>
    <xf numFmtId="0" fontId="0" fillId="0" borderId="17" xfId="0" applyBorder="1" applyAlignment="1">
      <alignment wrapText="1"/>
    </xf>
    <xf numFmtId="0" fontId="2" fillId="0" borderId="13"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46" xfId="0" applyFont="1" applyFill="1" applyBorder="1" applyAlignment="1">
      <alignment horizontal="center" vertical="center" wrapText="1"/>
    </xf>
    <xf numFmtId="1" fontId="4" fillId="17" borderId="1" xfId="0" applyNumberFormat="1" applyFont="1" applyFill="1" applyBorder="1" applyAlignment="1">
      <alignment wrapText="1"/>
    </xf>
    <xf numFmtId="0" fontId="4" fillId="17" borderId="1" xfId="0" applyFont="1" applyFill="1" applyBorder="1" applyAlignment="1">
      <alignment wrapText="1"/>
    </xf>
    <xf numFmtId="2" fontId="0" fillId="11" borderId="36" xfId="0" applyNumberFormat="1" applyFill="1" applyBorder="1" applyAlignment="1">
      <alignment wrapText="1"/>
    </xf>
    <xf numFmtId="2" fontId="0" fillId="14" borderId="36" xfId="0" applyNumberFormat="1" applyFill="1" applyBorder="1" applyAlignment="1">
      <alignment wrapText="1"/>
    </xf>
    <xf numFmtId="2" fontId="0" fillId="14" borderId="40" xfId="0" applyNumberFormat="1" applyFill="1" applyBorder="1" applyAlignment="1">
      <alignment wrapText="1"/>
    </xf>
    <xf numFmtId="11" fontId="6" fillId="18" borderId="12" xfId="0" applyNumberFormat="1" applyFont="1" applyFill="1" applyBorder="1" applyAlignment="1">
      <alignment horizontal="center" wrapText="1"/>
    </xf>
    <xf numFmtId="0" fontId="0" fillId="18" borderId="4" xfId="0" applyFill="1" applyBorder="1" applyAlignment="1">
      <alignment wrapText="1"/>
    </xf>
    <xf numFmtId="0" fontId="2" fillId="18" borderId="4" xfId="0" applyFont="1" applyFill="1" applyBorder="1" applyAlignment="1">
      <alignment wrapText="1"/>
    </xf>
    <xf numFmtId="0" fontId="0" fillId="7" borderId="54" xfId="0" applyFill="1" applyBorder="1" applyAlignment="1">
      <alignment vertical="center" wrapText="1"/>
    </xf>
    <xf numFmtId="11" fontId="6" fillId="19" borderId="12" xfId="0" applyNumberFormat="1" applyFont="1" applyFill="1" applyBorder="1" applyAlignment="1">
      <alignment horizontal="center" wrapText="1"/>
    </xf>
    <xf numFmtId="0" fontId="0" fillId="19" borderId="4" xfId="0" applyFill="1" applyBorder="1" applyAlignment="1">
      <alignment wrapText="1"/>
    </xf>
    <xf numFmtId="11" fontId="17" fillId="19" borderId="4" xfId="0" applyNumberFormat="1" applyFont="1" applyFill="1" applyBorder="1" applyAlignment="1">
      <alignment horizontal="center" wrapText="1"/>
    </xf>
    <xf numFmtId="11" fontId="17" fillId="19" borderId="12" xfId="0" applyNumberFormat="1" applyFont="1" applyFill="1" applyBorder="1" applyAlignment="1">
      <alignment horizontal="center" wrapText="1"/>
    </xf>
    <xf numFmtId="0" fontId="0" fillId="19" borderId="0" xfId="0" applyFill="1" applyAlignment="1">
      <alignment wrapText="1"/>
    </xf>
    <xf numFmtId="1" fontId="4" fillId="20" borderId="1" xfId="0" applyNumberFormat="1" applyFont="1" applyFill="1" applyBorder="1" applyAlignment="1">
      <alignment wrapText="1"/>
    </xf>
    <xf numFmtId="0" fontId="0" fillId="19" borderId="33" xfId="0" applyFill="1" applyBorder="1" applyAlignment="1">
      <alignment wrapText="1"/>
    </xf>
    <xf numFmtId="0" fontId="0" fillId="19" borderId="22" xfId="0" applyFill="1" applyBorder="1" applyAlignment="1">
      <alignment wrapText="1"/>
    </xf>
    <xf numFmtId="0" fontId="2" fillId="0" borderId="9" xfId="0" applyFont="1" applyBorder="1" applyAlignment="1">
      <alignment horizontal="center" vertical="center"/>
    </xf>
    <xf numFmtId="1" fontId="0" fillId="0" borderId="9" xfId="0" applyNumberFormat="1" applyBorder="1"/>
    <xf numFmtId="1" fontId="2" fillId="11" borderId="9" xfId="0" applyNumberFormat="1" applyFont="1" applyFill="1" applyBorder="1"/>
    <xf numFmtId="1" fontId="0" fillId="19" borderId="9" xfId="0" applyNumberFormat="1" applyFill="1" applyBorder="1"/>
    <xf numFmtId="0" fontId="2" fillId="19" borderId="42" xfId="0" applyFont="1" applyFill="1" applyBorder="1" applyAlignment="1">
      <alignment wrapText="1"/>
    </xf>
    <xf numFmtId="0" fontId="2" fillId="19" borderId="38" xfId="0" applyFont="1" applyFill="1" applyBorder="1" applyAlignment="1">
      <alignment wrapText="1"/>
    </xf>
    <xf numFmtId="0" fontId="2" fillId="19" borderId="33" xfId="0" applyFont="1" applyFill="1" applyBorder="1" applyAlignment="1">
      <alignment wrapText="1"/>
    </xf>
    <xf numFmtId="11" fontId="6" fillId="19" borderId="10" xfId="0" applyNumberFormat="1" applyFont="1" applyFill="1" applyBorder="1" applyAlignment="1">
      <alignment horizontal="center" wrapText="1"/>
    </xf>
    <xf numFmtId="0" fontId="0" fillId="19" borderId="42" xfId="0" applyFill="1" applyBorder="1" applyAlignment="1">
      <alignment wrapText="1"/>
    </xf>
    <xf numFmtId="0" fontId="0" fillId="19" borderId="38" xfId="0" applyFill="1" applyBorder="1" applyAlignment="1">
      <alignment wrapText="1"/>
    </xf>
    <xf numFmtId="0" fontId="2" fillId="19" borderId="37" xfId="0" applyFont="1" applyFill="1" applyBorder="1" applyAlignment="1">
      <alignment wrapText="1"/>
    </xf>
    <xf numFmtId="2" fontId="0" fillId="19" borderId="2" xfId="0" applyNumberFormat="1" applyFill="1" applyBorder="1" applyAlignment="1">
      <alignment wrapText="1"/>
    </xf>
    <xf numFmtId="2" fontId="0" fillId="19" borderId="34" xfId="0" applyNumberFormat="1" applyFill="1" applyBorder="1" applyAlignment="1">
      <alignment wrapText="1"/>
    </xf>
    <xf numFmtId="0" fontId="4" fillId="19" borderId="5" xfId="0" applyFont="1" applyFill="1" applyBorder="1" applyAlignment="1">
      <alignment wrapText="1"/>
    </xf>
    <xf numFmtId="0" fontId="0" fillId="19" borderId="3" xfId="0" applyFill="1" applyBorder="1" applyAlignment="1">
      <alignment wrapText="1"/>
    </xf>
    <xf numFmtId="2" fontId="0" fillId="0" borderId="0" xfId="0" applyNumberFormat="1" applyFill="1" applyAlignment="1">
      <alignment wrapText="1"/>
    </xf>
    <xf numFmtId="0" fontId="2" fillId="0" borderId="22" xfId="0" applyFont="1" applyFill="1" applyBorder="1" applyAlignment="1">
      <alignment horizontal="center" vertical="center" wrapText="1"/>
    </xf>
    <xf numFmtId="11" fontId="11" fillId="19" borderId="12" xfId="0" applyNumberFormat="1" applyFont="1" applyFill="1" applyBorder="1" applyAlignment="1">
      <alignment horizontal="center" wrapText="1"/>
    </xf>
    <xf numFmtId="0" fontId="0" fillId="14" borderId="24" xfId="0" applyFill="1" applyBorder="1" applyAlignment="1">
      <alignment wrapText="1"/>
    </xf>
    <xf numFmtId="0" fontId="6" fillId="14" borderId="33" xfId="0" applyFont="1" applyFill="1" applyBorder="1" applyAlignment="1">
      <alignment wrapText="1"/>
    </xf>
    <xf numFmtId="0" fontId="6" fillId="14" borderId="58" xfId="0" applyFont="1" applyFill="1" applyBorder="1" applyAlignment="1">
      <alignment wrapText="1"/>
    </xf>
    <xf numFmtId="0" fontId="0" fillId="14" borderId="25" xfId="0" applyFill="1" applyBorder="1" applyAlignment="1">
      <alignment wrapText="1"/>
    </xf>
    <xf numFmtId="0" fontId="6" fillId="14" borderId="26" xfId="0" applyFont="1" applyFill="1" applyBorder="1" applyAlignment="1">
      <alignment wrapText="1"/>
    </xf>
    <xf numFmtId="0" fontId="6" fillId="14" borderId="23" xfId="0" applyFont="1" applyFill="1" applyBorder="1" applyAlignment="1">
      <alignment wrapText="1"/>
    </xf>
    <xf numFmtId="0" fontId="6" fillId="14" borderId="22" xfId="0" applyFont="1" applyFill="1" applyBorder="1" applyAlignment="1">
      <alignment wrapText="1"/>
    </xf>
    <xf numFmtId="2" fontId="0" fillId="0" borderId="0" xfId="0" applyNumberFormat="1" applyAlignment="1">
      <alignment wrapText="1"/>
    </xf>
    <xf numFmtId="1" fontId="0" fillId="14" borderId="21" xfId="0" applyNumberFormat="1" applyFill="1" applyBorder="1" applyAlignment="1">
      <alignment wrapText="1"/>
    </xf>
    <xf numFmtId="0" fontId="2" fillId="0" borderId="48" xfId="0" applyFont="1" applyFill="1" applyBorder="1" applyAlignment="1">
      <alignment wrapText="1"/>
    </xf>
    <xf numFmtId="1" fontId="2" fillId="14" borderId="8" xfId="0" applyNumberFormat="1" applyFont="1" applyFill="1" applyBorder="1" applyAlignment="1">
      <alignment wrapText="1"/>
    </xf>
    <xf numFmtId="1" fontId="0" fillId="14" borderId="40" xfId="0" applyNumberFormat="1" applyFill="1" applyBorder="1" applyAlignment="1">
      <alignment wrapText="1"/>
    </xf>
    <xf numFmtId="1" fontId="0" fillId="11" borderId="40" xfId="0" applyNumberFormat="1" applyFill="1" applyBorder="1" applyAlignment="1">
      <alignment wrapText="1"/>
    </xf>
    <xf numFmtId="166" fontId="0" fillId="14" borderId="21" xfId="0" applyNumberFormat="1" applyFill="1" applyBorder="1" applyAlignment="1">
      <alignment wrapText="1"/>
    </xf>
    <xf numFmtId="1" fontId="0" fillId="0" borderId="17" xfId="0" applyNumberFormat="1" applyBorder="1"/>
    <xf numFmtId="1" fontId="2" fillId="11" borderId="8" xfId="0" applyNumberFormat="1" applyFont="1" applyFill="1" applyBorder="1" applyAlignment="1">
      <alignment wrapText="1"/>
    </xf>
    <xf numFmtId="1" fontId="0" fillId="11" borderId="41" xfId="0" applyNumberFormat="1" applyFill="1" applyBorder="1" applyAlignment="1">
      <alignment wrapText="1"/>
    </xf>
    <xf numFmtId="1" fontId="0" fillId="14" borderId="1" xfId="0" applyNumberFormat="1" applyFill="1" applyBorder="1" applyAlignment="1">
      <alignment wrapText="1"/>
    </xf>
    <xf numFmtId="2" fontId="0" fillId="22" borderId="40" xfId="0" applyNumberFormat="1" applyFill="1" applyBorder="1" applyAlignment="1">
      <alignment wrapText="1"/>
    </xf>
    <xf numFmtId="2" fontId="0" fillId="22" borderId="36" xfId="0" applyNumberFormat="1" applyFill="1" applyBorder="1" applyAlignment="1">
      <alignment wrapText="1"/>
    </xf>
    <xf numFmtId="0" fontId="0" fillId="22" borderId="41" xfId="0" applyFill="1" applyBorder="1" applyAlignment="1">
      <alignment wrapText="1"/>
    </xf>
    <xf numFmtId="0" fontId="0" fillId="20" borderId="21" xfId="0" applyFill="1" applyBorder="1" applyAlignment="1">
      <alignment wrapText="1"/>
    </xf>
    <xf numFmtId="2" fontId="0" fillId="22" borderId="2" xfId="0" applyNumberFormat="1" applyFill="1" applyBorder="1" applyAlignment="1">
      <alignment wrapText="1"/>
    </xf>
    <xf numFmtId="0" fontId="0" fillId="21" borderId="36" xfId="0" applyFill="1" applyBorder="1" applyAlignment="1">
      <alignment wrapText="1"/>
    </xf>
    <xf numFmtId="0" fontId="0" fillId="21" borderId="21" xfId="0" applyFill="1" applyBorder="1" applyAlignment="1">
      <alignment wrapText="1"/>
    </xf>
    <xf numFmtId="0" fontId="0" fillId="21" borderId="35" xfId="0" applyFill="1" applyBorder="1" applyAlignment="1">
      <alignment wrapText="1"/>
    </xf>
    <xf numFmtId="2" fontId="0" fillId="21" borderId="2" xfId="0" applyNumberFormat="1" applyFill="1" applyBorder="1" applyAlignment="1">
      <alignment wrapText="1"/>
    </xf>
    <xf numFmtId="0" fontId="0" fillId="20" borderId="36" xfId="0" applyFill="1" applyBorder="1" applyAlignment="1">
      <alignment wrapText="1"/>
    </xf>
    <xf numFmtId="0" fontId="0" fillId="22" borderId="35" xfId="0" applyFill="1" applyBorder="1" applyAlignment="1">
      <alignment wrapText="1"/>
    </xf>
    <xf numFmtId="2" fontId="0" fillId="20" borderId="2" xfId="0" applyNumberFormat="1" applyFill="1" applyBorder="1" applyAlignment="1">
      <alignment wrapText="1"/>
    </xf>
    <xf numFmtId="0" fontId="0" fillId="21" borderId="2" xfId="0" applyFill="1" applyBorder="1" applyAlignment="1">
      <alignment wrapText="1"/>
    </xf>
    <xf numFmtId="0" fontId="0" fillId="22" borderId="36" xfId="0" applyFill="1" applyBorder="1" applyAlignment="1">
      <alignment wrapText="1"/>
    </xf>
    <xf numFmtId="1" fontId="0" fillId="22" borderId="36" xfId="0" applyNumberFormat="1" applyFill="1" applyBorder="1" applyAlignment="1">
      <alignment wrapText="1"/>
    </xf>
    <xf numFmtId="0" fontId="2" fillId="21" borderId="36" xfId="0" applyFont="1" applyFill="1" applyBorder="1" applyAlignment="1">
      <alignment wrapText="1"/>
    </xf>
    <xf numFmtId="0" fontId="2" fillId="21" borderId="21" xfId="0" applyFont="1" applyFill="1" applyBorder="1" applyAlignment="1">
      <alignment wrapText="1"/>
    </xf>
    <xf numFmtId="0" fontId="2" fillId="21" borderId="35" xfId="0" applyFont="1" applyFill="1" applyBorder="1" applyAlignment="1">
      <alignment wrapText="1"/>
    </xf>
    <xf numFmtId="2" fontId="2" fillId="21" borderId="2" xfId="0" applyNumberFormat="1" applyFont="1" applyFill="1" applyBorder="1" applyAlignment="1">
      <alignment wrapText="1"/>
    </xf>
    <xf numFmtId="0" fontId="0" fillId="22" borderId="38" xfId="0" applyFill="1" applyBorder="1" applyAlignment="1">
      <alignment wrapText="1"/>
    </xf>
    <xf numFmtId="0" fontId="0" fillId="22" borderId="37" xfId="0" applyFill="1" applyBorder="1" applyAlignment="1">
      <alignment wrapText="1"/>
    </xf>
    <xf numFmtId="0" fontId="0" fillId="22" borderId="34" xfId="0" applyFill="1" applyBorder="1" applyAlignment="1">
      <alignment wrapText="1"/>
    </xf>
    <xf numFmtId="0" fontId="0" fillId="22" borderId="47" xfId="0" applyFill="1" applyBorder="1" applyAlignment="1">
      <alignment wrapText="1"/>
    </xf>
    <xf numFmtId="1" fontId="2" fillId="22" borderId="8" xfId="0" applyNumberFormat="1" applyFont="1" applyFill="1" applyBorder="1" applyAlignment="1">
      <alignment wrapText="1"/>
    </xf>
    <xf numFmtId="1" fontId="0" fillId="22" borderId="40" xfId="0" applyNumberFormat="1" applyFill="1" applyBorder="1" applyAlignment="1">
      <alignment wrapText="1"/>
    </xf>
    <xf numFmtId="0" fontId="0" fillId="19" borderId="53" xfId="0" applyFill="1" applyBorder="1" applyAlignment="1">
      <alignment wrapText="1"/>
    </xf>
    <xf numFmtId="0" fontId="4" fillId="19" borderId="7" xfId="0" applyFont="1" applyFill="1" applyBorder="1" applyAlignment="1">
      <alignment wrapText="1"/>
    </xf>
    <xf numFmtId="0" fontId="0" fillId="19" borderId="46" xfId="0" applyFill="1" applyBorder="1" applyAlignment="1">
      <alignment wrapText="1"/>
    </xf>
    <xf numFmtId="0" fontId="0" fillId="22" borderId="5" xfId="0" applyFill="1" applyBorder="1" applyAlignment="1">
      <alignment wrapText="1"/>
    </xf>
    <xf numFmtId="0" fontId="6" fillId="22" borderId="23" xfId="0" applyFont="1" applyFill="1" applyBorder="1" applyAlignment="1">
      <alignment wrapText="1"/>
    </xf>
    <xf numFmtId="0" fontId="0" fillId="22" borderId="1" xfId="0" applyFill="1" applyBorder="1" applyAlignment="1">
      <alignment wrapText="1"/>
    </xf>
    <xf numFmtId="0" fontId="6" fillId="22" borderId="21" xfId="0" applyFont="1" applyFill="1" applyBorder="1" applyAlignment="1">
      <alignment wrapText="1"/>
    </xf>
    <xf numFmtId="0" fontId="0" fillId="17" borderId="1" xfId="0" applyFill="1" applyBorder="1" applyAlignment="1">
      <alignment wrapText="1"/>
    </xf>
    <xf numFmtId="0" fontId="0" fillId="17" borderId="21" xfId="0" applyFill="1" applyBorder="1" applyAlignment="1">
      <alignment wrapText="1"/>
    </xf>
    <xf numFmtId="0" fontId="0" fillId="20" borderId="0" xfId="0" applyFill="1" applyAlignment="1">
      <alignment wrapText="1"/>
    </xf>
    <xf numFmtId="1" fontId="0" fillId="22" borderId="1" xfId="0" applyNumberFormat="1" applyFill="1" applyBorder="1" applyAlignment="1">
      <alignment wrapText="1"/>
    </xf>
    <xf numFmtId="0" fontId="2" fillId="22" borderId="25" xfId="0" applyFont="1" applyFill="1" applyBorder="1" applyAlignment="1">
      <alignment wrapText="1"/>
    </xf>
    <xf numFmtId="0" fontId="2" fillId="22" borderId="26" xfId="0" applyFont="1" applyFill="1" applyBorder="1" applyAlignment="1">
      <alignment wrapText="1"/>
    </xf>
    <xf numFmtId="0" fontId="2" fillId="0" borderId="16" xfId="0" applyFont="1" applyFill="1" applyBorder="1" applyAlignment="1">
      <alignment wrapText="1"/>
    </xf>
    <xf numFmtId="0" fontId="0" fillId="0" borderId="28" xfId="0" applyBorder="1" applyAlignment="1">
      <alignment wrapText="1"/>
    </xf>
    <xf numFmtId="0" fontId="0" fillId="0" borderId="27" xfId="0" applyBorder="1" applyAlignment="1">
      <alignment wrapText="1"/>
    </xf>
    <xf numFmtId="0" fontId="2" fillId="0" borderId="48" xfId="0" applyFont="1" applyBorder="1" applyAlignment="1">
      <alignment horizontal="center" vertical="center" wrapText="1"/>
    </xf>
    <xf numFmtId="0" fontId="2" fillId="0" borderId="60" xfId="0" applyFont="1" applyBorder="1" applyAlignment="1">
      <alignment horizontal="center" vertical="center" wrapText="1"/>
    </xf>
    <xf numFmtId="0" fontId="0" fillId="14" borderId="5" xfId="0" applyFill="1" applyBorder="1" applyAlignment="1">
      <alignment wrapText="1"/>
    </xf>
    <xf numFmtId="0" fontId="2" fillId="0" borderId="7" xfId="0" applyFont="1" applyFill="1" applyBorder="1" applyAlignment="1">
      <alignment vertical="center" wrapText="1"/>
    </xf>
    <xf numFmtId="0" fontId="2" fillId="0" borderId="8" xfId="0" applyFont="1" applyFill="1" applyBorder="1" applyAlignment="1">
      <alignment vertical="center" wrapText="1"/>
    </xf>
    <xf numFmtId="0" fontId="2" fillId="25" borderId="20" xfId="0" applyFont="1" applyFill="1" applyBorder="1" applyAlignment="1">
      <alignment horizontal="center" vertical="center" wrapText="1"/>
    </xf>
    <xf numFmtId="0" fontId="2" fillId="25" borderId="54" xfId="0" applyFont="1" applyFill="1" applyBorder="1" applyAlignment="1">
      <alignment horizontal="center" vertical="center" wrapText="1"/>
    </xf>
    <xf numFmtId="0" fontId="0" fillId="25" borderId="14" xfId="0" applyFill="1" applyBorder="1" applyAlignment="1">
      <alignment vertical="center" wrapText="1"/>
    </xf>
    <xf numFmtId="0" fontId="0" fillId="25" borderId="20" xfId="0" applyFill="1" applyBorder="1" applyAlignment="1">
      <alignment vertical="center" wrapText="1"/>
    </xf>
    <xf numFmtId="0" fontId="0" fillId="25" borderId="53" xfId="0" applyFill="1" applyBorder="1" applyAlignment="1">
      <alignment vertical="center" wrapText="1"/>
    </xf>
    <xf numFmtId="0" fontId="0" fillId="25" borderId="54" xfId="0" applyFill="1" applyBorder="1" applyAlignment="1">
      <alignment vertical="center" wrapText="1"/>
    </xf>
    <xf numFmtId="2" fontId="0" fillId="19" borderId="9" xfId="0" applyNumberFormat="1" applyFill="1" applyBorder="1"/>
    <xf numFmtId="1" fontId="0" fillId="0" borderId="9" xfId="0" applyNumberFormat="1" applyFill="1" applyBorder="1"/>
    <xf numFmtId="2" fontId="0" fillId="0" borderId="9" xfId="0" applyNumberFormat="1" applyFill="1" applyBorder="1"/>
    <xf numFmtId="1" fontId="0" fillId="14" borderId="9" xfId="0" applyNumberFormat="1" applyFill="1" applyBorder="1"/>
    <xf numFmtId="2" fontId="0" fillId="14" borderId="9" xfId="0" applyNumberFormat="1" applyFill="1" applyBorder="1"/>
    <xf numFmtId="1" fontId="2" fillId="14" borderId="9" xfId="0" applyNumberFormat="1" applyFont="1" applyFill="1" applyBorder="1"/>
    <xf numFmtId="1" fontId="0" fillId="11" borderId="9" xfId="0" applyNumberFormat="1" applyFill="1" applyBorder="1"/>
    <xf numFmtId="2" fontId="0" fillId="11" borderId="9" xfId="0" applyNumberFormat="1" applyFill="1" applyBorder="1"/>
    <xf numFmtId="1" fontId="0" fillId="22" borderId="9" xfId="0" applyNumberFormat="1" applyFill="1" applyBorder="1"/>
    <xf numFmtId="2" fontId="0" fillId="22" borderId="9" xfId="0" applyNumberFormat="1" applyFill="1" applyBorder="1"/>
    <xf numFmtId="0" fontId="0" fillId="22" borderId="0" xfId="0" applyFill="1"/>
    <xf numFmtId="2" fontId="0" fillId="27" borderId="9" xfId="0" applyNumberFormat="1" applyFill="1" applyBorder="1"/>
    <xf numFmtId="1" fontId="0" fillId="27" borderId="9" xfId="0" applyNumberFormat="1" applyFill="1" applyBorder="1"/>
    <xf numFmtId="2" fontId="8" fillId="27" borderId="9" xfId="0" applyNumberFormat="1" applyFont="1" applyFill="1" applyBorder="1"/>
    <xf numFmtId="1" fontId="2" fillId="22" borderId="9" xfId="0" applyNumberFormat="1" applyFont="1" applyFill="1" applyBorder="1"/>
    <xf numFmtId="0" fontId="2" fillId="16" borderId="9" xfId="0" applyFont="1" applyFill="1" applyBorder="1" applyAlignment="1">
      <alignment horizontal="center" vertical="center" wrapText="1"/>
    </xf>
    <xf numFmtId="0" fontId="6" fillId="25" borderId="7" xfId="0" applyFont="1" applyFill="1" applyBorder="1" applyAlignment="1">
      <alignment vertical="center" wrapText="1"/>
    </xf>
    <xf numFmtId="0" fontId="0" fillId="25" borderId="9" xfId="0" applyFill="1" applyBorder="1" applyAlignment="1">
      <alignment vertical="center" wrapText="1"/>
    </xf>
    <xf numFmtId="165" fontId="0" fillId="22" borderId="36" xfId="0" applyNumberFormat="1" applyFill="1" applyBorder="1" applyAlignment="1">
      <alignment wrapText="1"/>
    </xf>
    <xf numFmtId="11" fontId="6" fillId="19" borderId="49" xfId="0" applyNumberFormat="1" applyFont="1" applyFill="1" applyBorder="1" applyAlignment="1">
      <alignment horizontal="center" wrapText="1"/>
    </xf>
    <xf numFmtId="0" fontId="0" fillId="19" borderId="49" xfId="0" applyFill="1" applyBorder="1" applyAlignment="1">
      <alignment wrapText="1"/>
    </xf>
    <xf numFmtId="0" fontId="0" fillId="14" borderId="45" xfId="0" applyFill="1" applyBorder="1" applyAlignment="1">
      <alignment wrapText="1"/>
    </xf>
    <xf numFmtId="11" fontId="6" fillId="16" borderId="56" xfId="0" applyNumberFormat="1" applyFont="1" applyFill="1" applyBorder="1" applyAlignment="1">
      <alignment horizontal="center" wrapText="1"/>
    </xf>
    <xf numFmtId="2" fontId="0" fillId="14" borderId="64" xfId="0" applyNumberFormat="1" applyFill="1" applyBorder="1" applyAlignment="1">
      <alignment wrapText="1"/>
    </xf>
    <xf numFmtId="0" fontId="0" fillId="14" borderId="26" xfId="0" applyFill="1" applyBorder="1" applyAlignment="1">
      <alignment wrapText="1"/>
    </xf>
    <xf numFmtId="0" fontId="0" fillId="19" borderId="0" xfId="0" applyFill="1"/>
    <xf numFmtId="0" fontId="6" fillId="19" borderId="0" xfId="0" applyFont="1" applyFill="1" applyAlignment="1"/>
    <xf numFmtId="0" fontId="0" fillId="5" borderId="9" xfId="0" applyFill="1" applyBorder="1" applyAlignment="1">
      <alignment wrapText="1"/>
    </xf>
    <xf numFmtId="0" fontId="0" fillId="0" borderId="0" xfId="0" applyFill="1"/>
    <xf numFmtId="1" fontId="6" fillId="5" borderId="1" xfId="0" applyNumberFormat="1" applyFont="1" applyFill="1" applyBorder="1" applyAlignment="1">
      <alignment wrapText="1"/>
    </xf>
    <xf numFmtId="1" fontId="6" fillId="20" borderId="1" xfId="0" applyNumberFormat="1" applyFont="1" applyFill="1" applyBorder="1" applyAlignment="1">
      <alignment wrapText="1"/>
    </xf>
    <xf numFmtId="0" fontId="6" fillId="3" borderId="5" xfId="0" applyFont="1" applyFill="1" applyBorder="1" applyAlignment="1">
      <alignment wrapText="1"/>
    </xf>
    <xf numFmtId="0" fontId="2" fillId="3" borderId="7" xfId="0" applyFont="1" applyFill="1" applyBorder="1" applyAlignment="1">
      <alignment wrapText="1"/>
    </xf>
    <xf numFmtId="0" fontId="6" fillId="5" borderId="5" xfId="0" applyFont="1" applyFill="1" applyBorder="1" applyAlignment="1">
      <alignment wrapText="1"/>
    </xf>
    <xf numFmtId="1" fontId="6" fillId="5" borderId="5" xfId="0" applyNumberFormat="1" applyFont="1" applyFill="1" applyBorder="1" applyAlignment="1">
      <alignment wrapText="1"/>
    </xf>
    <xf numFmtId="1" fontId="6" fillId="3" borderId="5" xfId="0" applyNumberFormat="1" applyFont="1" applyFill="1" applyBorder="1" applyAlignment="1">
      <alignment wrapText="1"/>
    </xf>
    <xf numFmtId="0" fontId="6" fillId="2" borderId="49" xfId="0" applyFont="1" applyFill="1" applyBorder="1" applyAlignment="1">
      <alignment wrapText="1"/>
    </xf>
    <xf numFmtId="0" fontId="6" fillId="2" borderId="24" xfId="0" applyFont="1" applyFill="1" applyBorder="1" applyAlignment="1">
      <alignment wrapText="1"/>
    </xf>
    <xf numFmtId="0" fontId="6" fillId="2" borderId="1" xfId="0" applyFont="1" applyFill="1" applyBorder="1" applyAlignment="1">
      <alignment wrapText="1"/>
    </xf>
    <xf numFmtId="0" fontId="6" fillId="14" borderId="1" xfId="0" applyFont="1" applyFill="1" applyBorder="1" applyAlignment="1">
      <alignment wrapText="1"/>
    </xf>
    <xf numFmtId="0" fontId="6" fillId="14" borderId="32" xfId="0" applyFont="1" applyFill="1" applyBorder="1" applyAlignment="1">
      <alignment wrapText="1"/>
    </xf>
    <xf numFmtId="0" fontId="6" fillId="2" borderId="32" xfId="0" applyFont="1" applyFill="1" applyBorder="1" applyAlignment="1">
      <alignment wrapText="1"/>
    </xf>
    <xf numFmtId="0" fontId="6" fillId="2" borderId="59" xfId="0" applyFont="1" applyFill="1" applyBorder="1" applyAlignment="1">
      <alignment wrapText="1"/>
    </xf>
    <xf numFmtId="0" fontId="6" fillId="14" borderId="5" xfId="0" applyFont="1" applyFill="1" applyBorder="1" applyAlignment="1">
      <alignment wrapText="1"/>
    </xf>
    <xf numFmtId="0" fontId="6" fillId="14" borderId="24" xfId="0" applyFont="1" applyFill="1" applyBorder="1" applyAlignment="1">
      <alignment wrapText="1"/>
    </xf>
    <xf numFmtId="1" fontId="6" fillId="14" borderId="1" xfId="0" applyNumberFormat="1" applyFont="1" applyFill="1" applyBorder="1" applyAlignment="1">
      <alignment wrapText="1"/>
    </xf>
    <xf numFmtId="0" fontId="6" fillId="14" borderId="56" xfId="0" applyFont="1" applyFill="1" applyBorder="1" applyAlignment="1">
      <alignment wrapText="1"/>
    </xf>
    <xf numFmtId="1" fontId="0" fillId="14" borderId="36" xfId="0" applyNumberFormat="1" applyFill="1" applyBorder="1" applyAlignment="1">
      <alignment wrapText="1"/>
    </xf>
    <xf numFmtId="1" fontId="0" fillId="14" borderId="7" xfId="0" applyNumberFormat="1" applyFill="1" applyBorder="1" applyAlignment="1">
      <alignment horizontal="right"/>
    </xf>
    <xf numFmtId="1" fontId="6" fillId="14" borderId="9" xfId="0" applyNumberFormat="1" applyFont="1" applyFill="1" applyBorder="1" applyAlignment="1">
      <alignment wrapText="1"/>
    </xf>
    <xf numFmtId="1" fontId="0" fillId="14" borderId="24" xfId="0" applyNumberFormat="1" applyFill="1" applyBorder="1" applyAlignment="1">
      <alignment wrapText="1"/>
    </xf>
    <xf numFmtId="1" fontId="0" fillId="0" borderId="0" xfId="0" applyNumberFormat="1"/>
    <xf numFmtId="0" fontId="6" fillId="25" borderId="41" xfId="0" applyFont="1" applyFill="1" applyBorder="1" applyAlignment="1">
      <alignment horizontal="right" vertical="center" wrapText="1"/>
    </xf>
    <xf numFmtId="0" fontId="6" fillId="25" borderId="30" xfId="0" applyFont="1" applyFill="1" applyBorder="1" applyAlignment="1">
      <alignment horizontal="right" vertical="center" wrapText="1"/>
    </xf>
    <xf numFmtId="0" fontId="0" fillId="14" borderId="23" xfId="0" applyFill="1" applyBorder="1" applyAlignment="1">
      <alignment wrapText="1"/>
    </xf>
    <xf numFmtId="1" fontId="0" fillId="11" borderId="36" xfId="0" applyNumberFormat="1" applyFill="1" applyBorder="1" applyAlignment="1">
      <alignment wrapText="1"/>
    </xf>
    <xf numFmtId="2" fontId="6" fillId="22" borderId="9" xfId="0" applyNumberFormat="1" applyFont="1" applyFill="1" applyBorder="1"/>
    <xf numFmtId="0" fontId="6" fillId="0" borderId="0" xfId="0" applyFont="1" applyAlignment="1">
      <alignment vertical="top" wrapText="1"/>
    </xf>
    <xf numFmtId="165" fontId="0" fillId="13" borderId="21" xfId="0" applyNumberFormat="1" applyFill="1" applyBorder="1"/>
    <xf numFmtId="165" fontId="2" fillId="11" borderId="21" xfId="0" applyNumberFormat="1" applyFont="1" applyFill="1" applyBorder="1"/>
    <xf numFmtId="0" fontId="6" fillId="3" borderId="53" xfId="0" applyFont="1" applyFill="1" applyBorder="1" applyAlignment="1">
      <alignment wrapText="1"/>
    </xf>
    <xf numFmtId="0" fontId="6" fillId="19" borderId="9" xfId="0" applyFont="1" applyFill="1" applyBorder="1" applyAlignment="1">
      <alignment wrapText="1"/>
    </xf>
    <xf numFmtId="0" fontId="6" fillId="19" borderId="7" xfId="0" applyFont="1" applyFill="1" applyBorder="1" applyAlignment="1">
      <alignment wrapText="1"/>
    </xf>
    <xf numFmtId="0" fontId="0" fillId="11" borderId="25" xfId="0" applyFill="1" applyBorder="1" applyAlignment="1">
      <alignment wrapText="1"/>
    </xf>
    <xf numFmtId="0" fontId="6" fillId="11" borderId="33" xfId="0" applyFont="1" applyFill="1" applyBorder="1" applyAlignment="1">
      <alignment wrapText="1"/>
    </xf>
    <xf numFmtId="165" fontId="0" fillId="19" borderId="29" xfId="0" applyNumberFormat="1" applyFill="1" applyBorder="1" applyAlignment="1">
      <alignment wrapText="1"/>
    </xf>
    <xf numFmtId="0" fontId="0" fillId="14" borderId="40" xfId="0" applyFill="1" applyBorder="1" applyAlignment="1">
      <alignment wrapText="1"/>
    </xf>
    <xf numFmtId="0" fontId="0" fillId="11" borderId="23" xfId="0" applyFill="1" applyBorder="1" applyAlignment="1">
      <alignment wrapText="1"/>
    </xf>
    <xf numFmtId="0" fontId="0" fillId="11" borderId="21" xfId="0" applyFill="1" applyBorder="1" applyAlignment="1">
      <alignment wrapText="1"/>
    </xf>
    <xf numFmtId="0" fontId="0" fillId="11" borderId="22" xfId="0" applyFill="1" applyBorder="1" applyAlignment="1">
      <alignment wrapText="1"/>
    </xf>
    <xf numFmtId="11" fontId="0" fillId="16" borderId="56" xfId="0" applyNumberFormat="1" applyFill="1" applyBorder="1" applyAlignment="1">
      <alignment wrapText="1"/>
    </xf>
    <xf numFmtId="11" fontId="6" fillId="19" borderId="66" xfId="0" applyNumberFormat="1" applyFont="1" applyFill="1" applyBorder="1" applyAlignment="1">
      <alignment horizontal="center" wrapText="1"/>
    </xf>
    <xf numFmtId="11" fontId="8" fillId="18" borderId="10" xfId="0" applyNumberFormat="1" applyFont="1" applyFill="1" applyBorder="1" applyAlignment="1">
      <alignment horizontal="center" wrapText="1"/>
    </xf>
    <xf numFmtId="0" fontId="0" fillId="18" borderId="3" xfId="0" applyFill="1" applyBorder="1" applyAlignment="1">
      <alignment wrapText="1"/>
    </xf>
    <xf numFmtId="0" fontId="0" fillId="20" borderId="24" xfId="0" applyFill="1" applyBorder="1" applyAlignment="1">
      <alignment wrapText="1"/>
    </xf>
    <xf numFmtId="0" fontId="0" fillId="20" borderId="58" xfId="0" applyFill="1" applyBorder="1" applyAlignment="1">
      <alignment wrapText="1"/>
    </xf>
    <xf numFmtId="11" fontId="0" fillId="19" borderId="49" xfId="0" applyNumberFormat="1" applyFill="1" applyBorder="1" applyAlignment="1">
      <alignment wrapText="1"/>
    </xf>
    <xf numFmtId="0" fontId="0" fillId="20" borderId="52" xfId="0" applyFill="1" applyBorder="1" applyAlignment="1">
      <alignment wrapText="1"/>
    </xf>
    <xf numFmtId="0" fontId="0" fillId="21" borderId="40" xfId="0" applyFill="1" applyBorder="1" applyAlignment="1">
      <alignment wrapText="1"/>
    </xf>
    <xf numFmtId="0" fontId="0" fillId="21" borderId="23" xfId="0" applyFill="1" applyBorder="1" applyAlignment="1">
      <alignment wrapText="1"/>
    </xf>
    <xf numFmtId="0" fontId="0" fillId="21" borderId="45" xfId="0" applyFill="1" applyBorder="1" applyAlignment="1">
      <alignment wrapText="1"/>
    </xf>
    <xf numFmtId="0" fontId="0" fillId="21" borderId="6" xfId="0" applyFill="1" applyBorder="1" applyAlignment="1">
      <alignment wrapText="1"/>
    </xf>
    <xf numFmtId="2" fontId="0" fillId="20" borderId="65" xfId="0" applyNumberFormat="1" applyFill="1" applyBorder="1" applyAlignment="1">
      <alignment wrapText="1"/>
    </xf>
    <xf numFmtId="0" fontId="0" fillId="20" borderId="68" xfId="0" applyFill="1" applyBorder="1" applyAlignment="1">
      <alignment wrapText="1"/>
    </xf>
    <xf numFmtId="0" fontId="0" fillId="21" borderId="70" xfId="0" applyFill="1" applyBorder="1" applyAlignment="1">
      <alignment wrapText="1"/>
    </xf>
    <xf numFmtId="0" fontId="0" fillId="20" borderId="70" xfId="0" applyFill="1" applyBorder="1" applyAlignment="1">
      <alignment wrapText="1"/>
    </xf>
    <xf numFmtId="0" fontId="0" fillId="20" borderId="71" xfId="0" applyFill="1" applyBorder="1" applyAlignment="1">
      <alignment wrapText="1"/>
    </xf>
    <xf numFmtId="0" fontId="0" fillId="21" borderId="69" xfId="0" applyFill="1" applyBorder="1" applyAlignment="1">
      <alignment wrapText="1"/>
    </xf>
    <xf numFmtId="0" fontId="2" fillId="21" borderId="70" xfId="0" applyFont="1" applyFill="1" applyBorder="1" applyAlignment="1">
      <alignment wrapText="1"/>
    </xf>
    <xf numFmtId="2" fontId="0" fillId="21" borderId="3" xfId="0" applyNumberFormat="1" applyFill="1" applyBorder="1" applyAlignment="1">
      <alignment wrapText="1"/>
    </xf>
    <xf numFmtId="0" fontId="0" fillId="11" borderId="45" xfId="0" applyFill="1" applyBorder="1" applyAlignment="1">
      <alignment wrapText="1"/>
    </xf>
    <xf numFmtId="0" fontId="0" fillId="11" borderId="35" xfId="0" applyFill="1" applyBorder="1" applyAlignment="1">
      <alignment wrapText="1"/>
    </xf>
    <xf numFmtId="0" fontId="0" fillId="19" borderId="37" xfId="0" applyFill="1" applyBorder="1" applyAlignment="1">
      <alignment wrapText="1"/>
    </xf>
    <xf numFmtId="2" fontId="0" fillId="19" borderId="72" xfId="0" applyNumberFormat="1" applyFill="1" applyBorder="1" applyAlignment="1">
      <alignment wrapText="1"/>
    </xf>
    <xf numFmtId="0" fontId="0" fillId="11" borderId="19" xfId="0" applyFill="1" applyBorder="1" applyAlignment="1">
      <alignment wrapText="1"/>
    </xf>
    <xf numFmtId="1" fontId="2" fillId="15" borderId="49" xfId="0" applyNumberFormat="1" applyFont="1" applyFill="1" applyBorder="1" applyAlignment="1">
      <alignment wrapText="1"/>
    </xf>
    <xf numFmtId="1" fontId="2" fillId="15" borderId="3" xfId="0" applyNumberFormat="1" applyFont="1" applyFill="1" applyBorder="1" applyAlignment="1">
      <alignment wrapText="1"/>
    </xf>
    <xf numFmtId="2" fontId="2" fillId="15" borderId="3" xfId="0" applyNumberFormat="1" applyFont="1" applyFill="1" applyBorder="1" applyAlignment="1">
      <alignment wrapText="1"/>
    </xf>
    <xf numFmtId="2" fontId="0" fillId="19" borderId="3" xfId="0" applyNumberFormat="1" applyFill="1" applyBorder="1" applyAlignment="1">
      <alignment wrapText="1"/>
    </xf>
    <xf numFmtId="1" fontId="2" fillId="15" borderId="9" xfId="0" applyNumberFormat="1" applyFont="1" applyFill="1" applyBorder="1" applyAlignment="1">
      <alignment wrapText="1"/>
    </xf>
    <xf numFmtId="167" fontId="0" fillId="14" borderId="35" xfId="0" applyNumberFormat="1" applyFill="1" applyBorder="1" applyAlignment="1">
      <alignment wrapText="1"/>
    </xf>
    <xf numFmtId="0" fontId="0" fillId="14" borderId="57" xfId="0" applyFill="1" applyBorder="1" applyAlignment="1">
      <alignment wrapText="1"/>
    </xf>
    <xf numFmtId="0" fontId="2" fillId="19" borderId="72" xfId="0" applyFont="1" applyFill="1" applyBorder="1" applyAlignment="1">
      <alignment wrapText="1"/>
    </xf>
    <xf numFmtId="0" fontId="2" fillId="14" borderId="19" xfId="0" applyFont="1" applyFill="1" applyBorder="1" applyAlignment="1">
      <alignment wrapText="1"/>
    </xf>
    <xf numFmtId="2" fontId="2" fillId="15" borderId="56" xfId="0" applyNumberFormat="1" applyFont="1" applyFill="1" applyBorder="1" applyAlignment="1">
      <alignment wrapText="1"/>
    </xf>
    <xf numFmtId="166" fontId="2" fillId="15" borderId="3" xfId="0" applyNumberFormat="1" applyFont="1" applyFill="1" applyBorder="1" applyAlignment="1">
      <alignment wrapText="1"/>
    </xf>
    <xf numFmtId="1" fontId="2" fillId="23" borderId="49" xfId="0" applyNumberFormat="1" applyFont="1" applyFill="1" applyBorder="1" applyAlignment="1">
      <alignment wrapText="1"/>
    </xf>
    <xf numFmtId="1" fontId="2" fillId="23" borderId="3" xfId="0" applyNumberFormat="1" applyFont="1" applyFill="1" applyBorder="1" applyAlignment="1">
      <alignment wrapText="1"/>
    </xf>
    <xf numFmtId="2" fontId="2" fillId="23" borderId="3" xfId="0" applyNumberFormat="1" applyFont="1" applyFill="1" applyBorder="1" applyAlignment="1">
      <alignment wrapText="1"/>
    </xf>
    <xf numFmtId="2" fontId="0" fillId="23" borderId="3" xfId="0" applyNumberFormat="1" applyFill="1" applyBorder="1" applyAlignment="1">
      <alignment wrapText="1"/>
    </xf>
    <xf numFmtId="2" fontId="2" fillId="23" borderId="56" xfId="0" applyNumberFormat="1" applyFont="1" applyFill="1" applyBorder="1" applyAlignment="1">
      <alignment wrapText="1"/>
    </xf>
    <xf numFmtId="1" fontId="2" fillId="23" borderId="9" xfId="0" applyNumberFormat="1" applyFont="1" applyFill="1" applyBorder="1" applyAlignment="1">
      <alignment wrapText="1"/>
    </xf>
    <xf numFmtId="0" fontId="0" fillId="22" borderId="72" xfId="0" applyFill="1" applyBorder="1" applyAlignment="1">
      <alignment wrapText="1"/>
    </xf>
    <xf numFmtId="0" fontId="0" fillId="22" borderId="19" xfId="0" applyFill="1" applyBorder="1" applyAlignment="1">
      <alignment wrapText="1"/>
    </xf>
    <xf numFmtId="0" fontId="0" fillId="22" borderId="69" xfId="0" applyFill="1" applyBorder="1" applyAlignment="1">
      <alignment wrapText="1"/>
    </xf>
    <xf numFmtId="2" fontId="0" fillId="22" borderId="6" xfId="0" applyNumberFormat="1" applyFill="1" applyBorder="1" applyAlignment="1">
      <alignment wrapText="1"/>
    </xf>
    <xf numFmtId="0" fontId="0" fillId="22" borderId="71" xfId="0" applyFill="1" applyBorder="1" applyAlignment="1">
      <alignment wrapText="1"/>
    </xf>
    <xf numFmtId="2" fontId="0" fillId="22" borderId="65" xfId="0" applyNumberFormat="1" applyFill="1" applyBorder="1" applyAlignment="1">
      <alignment wrapText="1"/>
    </xf>
    <xf numFmtId="0" fontId="0" fillId="22" borderId="23" xfId="0" applyFill="1" applyBorder="1" applyAlignment="1">
      <alignment wrapText="1"/>
    </xf>
    <xf numFmtId="0" fontId="0" fillId="22" borderId="45" xfId="0" applyFill="1" applyBorder="1" applyAlignment="1">
      <alignment wrapText="1"/>
    </xf>
    <xf numFmtId="0" fontId="0" fillId="22" borderId="21" xfId="0" applyFill="1" applyBorder="1" applyAlignment="1">
      <alignment wrapText="1"/>
    </xf>
    <xf numFmtId="2" fontId="0" fillId="22" borderId="64" xfId="0" applyNumberFormat="1" applyFill="1" applyBorder="1" applyAlignment="1">
      <alignment wrapText="1"/>
    </xf>
    <xf numFmtId="0" fontId="0" fillId="22" borderId="26" xfId="0" applyFill="1" applyBorder="1" applyAlignment="1">
      <alignment wrapText="1"/>
    </xf>
    <xf numFmtId="0" fontId="0" fillId="22" borderId="57" xfId="0" applyFill="1" applyBorder="1" applyAlignment="1">
      <alignment wrapText="1"/>
    </xf>
    <xf numFmtId="0" fontId="0" fillId="22" borderId="33" xfId="0" applyFill="1" applyBorder="1" applyAlignment="1">
      <alignment wrapText="1"/>
    </xf>
    <xf numFmtId="0" fontId="0" fillId="22" borderId="22" xfId="0" applyFill="1" applyBorder="1" applyAlignment="1">
      <alignment wrapText="1"/>
    </xf>
    <xf numFmtId="1" fontId="2" fillId="14" borderId="24" xfId="0" applyNumberFormat="1" applyFont="1" applyFill="1" applyBorder="1" applyAlignment="1">
      <alignment wrapText="1"/>
    </xf>
    <xf numFmtId="1" fontId="2" fillId="11" borderId="9" xfId="0" applyNumberFormat="1" applyFont="1" applyFill="1" applyBorder="1" applyAlignment="1">
      <alignment wrapText="1"/>
    </xf>
    <xf numFmtId="165" fontId="0" fillId="14" borderId="9" xfId="0" applyNumberFormat="1" applyFill="1" applyBorder="1"/>
    <xf numFmtId="2" fontId="0" fillId="24" borderId="3" xfId="0" applyNumberFormat="1" applyFill="1" applyBorder="1" applyAlignment="1">
      <alignment wrapText="1"/>
    </xf>
    <xf numFmtId="2" fontId="0" fillId="24" borderId="56" xfId="0" applyNumberFormat="1" applyFill="1" applyBorder="1" applyAlignment="1">
      <alignment wrapText="1"/>
    </xf>
    <xf numFmtId="1" fontId="18" fillId="14" borderId="24" xfId="0" applyNumberFormat="1" applyFont="1" applyFill="1" applyBorder="1" applyAlignment="1">
      <alignment horizontal="right" wrapText="1"/>
    </xf>
    <xf numFmtId="1" fontId="18" fillId="14" borderId="52" xfId="0" applyNumberFormat="1" applyFont="1" applyFill="1" applyBorder="1" applyAlignment="1">
      <alignment horizontal="right" wrapText="1"/>
    </xf>
    <xf numFmtId="1" fontId="18" fillId="14" borderId="23" xfId="0" applyNumberFormat="1" applyFont="1" applyFill="1" applyBorder="1" applyAlignment="1">
      <alignment horizontal="right" wrapText="1"/>
    </xf>
    <xf numFmtId="1" fontId="6" fillId="14" borderId="45" xfId="0" applyNumberFormat="1" applyFont="1" applyFill="1" applyBorder="1" applyAlignment="1">
      <alignment horizontal="right" wrapText="1"/>
    </xf>
    <xf numFmtId="1" fontId="2" fillId="15" borderId="49" xfId="0" applyNumberFormat="1" applyFont="1" applyFill="1" applyBorder="1" applyAlignment="1">
      <alignment horizontal="right" wrapText="1"/>
    </xf>
    <xf numFmtId="1" fontId="6" fillId="14" borderId="39" xfId="0" applyNumberFormat="1" applyFont="1" applyFill="1" applyBorder="1" applyAlignment="1">
      <alignment horizontal="right" wrapText="1"/>
    </xf>
    <xf numFmtId="1" fontId="18" fillId="14" borderId="53" xfId="0" applyNumberFormat="1" applyFont="1" applyFill="1" applyBorder="1" applyAlignment="1">
      <alignment horizontal="right" wrapText="1"/>
    </xf>
    <xf numFmtId="1" fontId="18" fillId="14" borderId="36" xfId="0" applyNumberFormat="1" applyFont="1" applyFill="1" applyBorder="1" applyAlignment="1">
      <alignment horizontal="right" wrapText="1"/>
    </xf>
    <xf numFmtId="1" fontId="18" fillId="14" borderId="21" xfId="0" applyNumberFormat="1" applyFont="1" applyFill="1" applyBorder="1" applyAlignment="1">
      <alignment horizontal="right" wrapText="1"/>
    </xf>
    <xf numFmtId="1" fontId="6" fillId="14" borderId="35" xfId="0" applyNumberFormat="1" applyFont="1" applyFill="1" applyBorder="1" applyAlignment="1">
      <alignment horizontal="right" wrapText="1"/>
    </xf>
    <xf numFmtId="1" fontId="2" fillId="15" borderId="4" xfId="0" applyNumberFormat="1" applyFont="1" applyFill="1" applyBorder="1" applyAlignment="1">
      <alignment horizontal="right" wrapText="1"/>
    </xf>
    <xf numFmtId="1" fontId="6" fillId="14" borderId="50" xfId="0" applyNumberFormat="1" applyFont="1" applyFill="1" applyBorder="1" applyAlignment="1">
      <alignment horizontal="right" wrapText="1"/>
    </xf>
    <xf numFmtId="1" fontId="18" fillId="14" borderId="1" xfId="0" applyNumberFormat="1" applyFont="1" applyFill="1" applyBorder="1" applyAlignment="1">
      <alignment horizontal="right" wrapText="1"/>
    </xf>
    <xf numFmtId="165" fontId="6" fillId="14" borderId="50" xfId="0" applyNumberFormat="1" applyFont="1" applyFill="1" applyBorder="1" applyAlignment="1">
      <alignment horizontal="right" wrapText="1"/>
    </xf>
    <xf numFmtId="2" fontId="18" fillId="14" borderId="1" xfId="0" applyNumberFormat="1" applyFont="1" applyFill="1" applyBorder="1" applyAlignment="1">
      <alignment horizontal="right" wrapText="1"/>
    </xf>
    <xf numFmtId="2" fontId="2" fillId="15" borderId="4" xfId="0" applyNumberFormat="1" applyFont="1" applyFill="1" applyBorder="1" applyAlignment="1">
      <alignment horizontal="right" wrapText="1"/>
    </xf>
    <xf numFmtId="165" fontId="18" fillId="14" borderId="1" xfId="0" applyNumberFormat="1" applyFont="1" applyFill="1" applyBorder="1" applyAlignment="1">
      <alignment horizontal="right" wrapText="1"/>
    </xf>
    <xf numFmtId="164" fontId="18" fillId="14" borderId="1" xfId="0" applyNumberFormat="1" applyFont="1" applyFill="1" applyBorder="1" applyAlignment="1">
      <alignment horizontal="right" wrapText="1"/>
    </xf>
    <xf numFmtId="164" fontId="18" fillId="14" borderId="21" xfId="0" applyNumberFormat="1" applyFont="1" applyFill="1" applyBorder="1" applyAlignment="1">
      <alignment horizontal="right" wrapText="1"/>
    </xf>
    <xf numFmtId="167" fontId="6" fillId="14" borderId="35" xfId="0" applyNumberFormat="1" applyFont="1" applyFill="1" applyBorder="1" applyAlignment="1">
      <alignment horizontal="right" wrapText="1"/>
    </xf>
    <xf numFmtId="166" fontId="18" fillId="14" borderId="21" xfId="0" applyNumberFormat="1" applyFont="1" applyFill="1" applyBorder="1" applyAlignment="1">
      <alignment horizontal="right" wrapText="1"/>
    </xf>
    <xf numFmtId="164" fontId="6" fillId="14" borderId="35" xfId="0" applyNumberFormat="1" applyFont="1" applyFill="1" applyBorder="1" applyAlignment="1">
      <alignment horizontal="right" wrapText="1"/>
    </xf>
    <xf numFmtId="2" fontId="18" fillId="14" borderId="21" xfId="0" applyNumberFormat="1" applyFont="1" applyFill="1" applyBorder="1" applyAlignment="1">
      <alignment horizontal="right" wrapText="1"/>
    </xf>
    <xf numFmtId="2" fontId="18" fillId="14" borderId="25" xfId="0" applyNumberFormat="1" applyFont="1" applyFill="1" applyBorder="1" applyAlignment="1">
      <alignment horizontal="right" wrapText="1"/>
    </xf>
    <xf numFmtId="1" fontId="18" fillId="14" borderId="26" xfId="0" applyNumberFormat="1" applyFont="1" applyFill="1" applyBorder="1" applyAlignment="1">
      <alignment horizontal="right" wrapText="1"/>
    </xf>
    <xf numFmtId="1" fontId="6" fillId="14" borderId="57" xfId="0" applyNumberFormat="1" applyFont="1" applyFill="1" applyBorder="1" applyAlignment="1">
      <alignment horizontal="right" wrapText="1"/>
    </xf>
    <xf numFmtId="2" fontId="2" fillId="15" borderId="56" xfId="0" applyNumberFormat="1" applyFont="1" applyFill="1" applyBorder="1" applyAlignment="1">
      <alignment horizontal="right" wrapText="1"/>
    </xf>
    <xf numFmtId="164" fontId="6" fillId="14" borderId="5" xfId="0" applyNumberFormat="1" applyFont="1" applyFill="1" applyBorder="1" applyAlignment="1">
      <alignment horizontal="right" wrapText="1"/>
    </xf>
    <xf numFmtId="164" fontId="6" fillId="14" borderId="23" xfId="0" applyNumberFormat="1" applyFont="1" applyFill="1" applyBorder="1" applyAlignment="1">
      <alignment horizontal="right" wrapText="1"/>
    </xf>
    <xf numFmtId="168" fontId="6" fillId="14" borderId="45" xfId="0" applyNumberFormat="1" applyFont="1" applyFill="1" applyBorder="1" applyAlignment="1">
      <alignment horizontal="right" wrapText="1"/>
    </xf>
    <xf numFmtId="164" fontId="6" fillId="14" borderId="1" xfId="0" applyNumberFormat="1" applyFont="1" applyFill="1" applyBorder="1" applyAlignment="1">
      <alignment horizontal="right" wrapText="1"/>
    </xf>
    <xf numFmtId="164" fontId="6" fillId="14" borderId="21" xfId="0" applyNumberFormat="1" applyFont="1" applyFill="1" applyBorder="1" applyAlignment="1">
      <alignment horizontal="right" wrapText="1"/>
    </xf>
    <xf numFmtId="166" fontId="6" fillId="14" borderId="21" xfId="0" applyNumberFormat="1" applyFont="1" applyFill="1" applyBorder="1" applyAlignment="1">
      <alignment horizontal="right" wrapText="1"/>
    </xf>
    <xf numFmtId="2" fontId="6" fillId="14" borderId="1" xfId="0" applyNumberFormat="1" applyFont="1" applyFill="1" applyBorder="1" applyAlignment="1">
      <alignment horizontal="right" wrapText="1"/>
    </xf>
    <xf numFmtId="2" fontId="6" fillId="14" borderId="21" xfId="0" applyNumberFormat="1" applyFont="1" applyFill="1" applyBorder="1" applyAlignment="1">
      <alignment horizontal="right" wrapText="1"/>
    </xf>
    <xf numFmtId="165" fontId="6" fillId="14" borderId="1" xfId="0" applyNumberFormat="1" applyFont="1" applyFill="1" applyBorder="1" applyAlignment="1">
      <alignment horizontal="right" wrapText="1"/>
    </xf>
    <xf numFmtId="165" fontId="2" fillId="15" borderId="4" xfId="0" applyNumberFormat="1" applyFont="1" applyFill="1" applyBorder="1" applyAlignment="1">
      <alignment horizontal="right" wrapText="1"/>
    </xf>
    <xf numFmtId="1" fontId="6" fillId="19" borderId="32" xfId="0" applyNumberFormat="1" applyFont="1" applyFill="1" applyBorder="1" applyAlignment="1">
      <alignment horizontal="right" wrapText="1"/>
    </xf>
    <xf numFmtId="1" fontId="6" fillId="19" borderId="33" xfId="0" applyNumberFormat="1" applyFont="1" applyFill="1" applyBorder="1" applyAlignment="1">
      <alignment horizontal="right" wrapText="1"/>
    </xf>
    <xf numFmtId="1" fontId="6" fillId="19" borderId="57" xfId="0" applyNumberFormat="1" applyFont="1" applyFill="1" applyBorder="1" applyAlignment="1">
      <alignment horizontal="right" wrapText="1"/>
    </xf>
    <xf numFmtId="1" fontId="2" fillId="19" borderId="14" xfId="0" applyNumberFormat="1" applyFont="1" applyFill="1" applyBorder="1" applyAlignment="1">
      <alignment horizontal="right" wrapText="1"/>
    </xf>
    <xf numFmtId="1" fontId="4" fillId="19" borderId="56" xfId="0" applyNumberFormat="1" applyFont="1" applyFill="1" applyBorder="1" applyAlignment="1">
      <alignment horizontal="right" wrapText="1"/>
    </xf>
    <xf numFmtId="1" fontId="2" fillId="14" borderId="7" xfId="0" applyNumberFormat="1" applyFont="1" applyFill="1" applyBorder="1" applyAlignment="1">
      <alignment horizontal="right" wrapText="1"/>
    </xf>
    <xf numFmtId="1" fontId="2" fillId="14" borderId="22" xfId="0" applyNumberFormat="1" applyFont="1" applyFill="1" applyBorder="1" applyAlignment="1">
      <alignment horizontal="right" wrapText="1"/>
    </xf>
    <xf numFmtId="1" fontId="2" fillId="14" borderId="47" xfId="0" applyNumberFormat="1" applyFont="1" applyFill="1" applyBorder="1" applyAlignment="1">
      <alignment horizontal="right" wrapText="1"/>
    </xf>
    <xf numFmtId="1" fontId="2" fillId="14" borderId="9" xfId="0" applyNumberFormat="1" applyFont="1" applyFill="1" applyBorder="1" applyAlignment="1">
      <alignment horizontal="right" wrapText="1"/>
    </xf>
    <xf numFmtId="1" fontId="6" fillId="11" borderId="23" xfId="0" applyNumberFormat="1" applyFont="1" applyFill="1" applyBorder="1" applyAlignment="1">
      <alignment horizontal="right" wrapText="1"/>
    </xf>
    <xf numFmtId="2" fontId="6" fillId="11" borderId="39" xfId="0" applyNumberFormat="1" applyFont="1" applyFill="1" applyBorder="1" applyAlignment="1">
      <alignment horizontal="right" wrapText="1"/>
    </xf>
    <xf numFmtId="1" fontId="6" fillId="11" borderId="1" xfId="0" applyNumberFormat="1" applyFont="1" applyFill="1" applyBorder="1" applyAlignment="1">
      <alignment horizontal="right" wrapText="1"/>
    </xf>
    <xf numFmtId="1" fontId="6" fillId="11" borderId="21" xfId="0" applyNumberFormat="1" applyFont="1" applyFill="1" applyBorder="1" applyAlignment="1">
      <alignment horizontal="right" wrapText="1"/>
    </xf>
    <xf numFmtId="1" fontId="6" fillId="11" borderId="35" xfId="0" applyNumberFormat="1" applyFont="1" applyFill="1" applyBorder="1" applyAlignment="1">
      <alignment horizontal="right" wrapText="1"/>
    </xf>
    <xf numFmtId="2" fontId="6" fillId="11" borderId="50" xfId="0" applyNumberFormat="1" applyFont="1" applyFill="1" applyBorder="1" applyAlignment="1">
      <alignment horizontal="right" wrapText="1"/>
    </xf>
    <xf numFmtId="165" fontId="6" fillId="11" borderId="1" xfId="0" applyNumberFormat="1" applyFont="1" applyFill="1" applyBorder="1" applyAlignment="1">
      <alignment horizontal="right" wrapText="1"/>
    </xf>
    <xf numFmtId="1" fontId="6" fillId="19" borderId="37" xfId="0" applyNumberFormat="1" applyFont="1" applyFill="1" applyBorder="1" applyAlignment="1">
      <alignment horizontal="right" wrapText="1"/>
    </xf>
    <xf numFmtId="1" fontId="2" fillId="19" borderId="56" xfId="0" applyNumberFormat="1" applyFont="1" applyFill="1" applyBorder="1" applyAlignment="1">
      <alignment horizontal="right" wrapText="1"/>
    </xf>
    <xf numFmtId="1" fontId="6" fillId="19" borderId="62" xfId="0" applyNumberFormat="1" applyFont="1" applyFill="1" applyBorder="1" applyAlignment="1">
      <alignment horizontal="right" wrapText="1"/>
    </xf>
    <xf numFmtId="1" fontId="2" fillId="11" borderId="7" xfId="0" applyNumberFormat="1" applyFont="1" applyFill="1" applyBorder="1" applyAlignment="1">
      <alignment horizontal="right" wrapText="1"/>
    </xf>
    <xf numFmtId="1" fontId="2" fillId="11" borderId="22" xfId="0" applyNumberFormat="1" applyFont="1" applyFill="1" applyBorder="1" applyAlignment="1">
      <alignment horizontal="right" wrapText="1"/>
    </xf>
    <xf numFmtId="1" fontId="2" fillId="11" borderId="47" xfId="0" applyNumberFormat="1" applyFont="1" applyFill="1" applyBorder="1" applyAlignment="1">
      <alignment horizontal="right" wrapText="1"/>
    </xf>
    <xf numFmtId="1" fontId="2" fillId="11" borderId="9" xfId="0" applyNumberFormat="1" applyFont="1" applyFill="1" applyBorder="1" applyAlignment="1">
      <alignment horizontal="right" wrapText="1"/>
    </xf>
    <xf numFmtId="1" fontId="6" fillId="22" borderId="5" xfId="0" applyNumberFormat="1" applyFont="1" applyFill="1" applyBorder="1" applyAlignment="1">
      <alignment horizontal="right" wrapText="1"/>
    </xf>
    <xf numFmtId="1" fontId="6" fillId="22" borderId="23" xfId="0" applyNumberFormat="1" applyFont="1" applyFill="1" applyBorder="1" applyAlignment="1">
      <alignment horizontal="right" wrapText="1"/>
    </xf>
    <xf numFmtId="1" fontId="6" fillId="22" borderId="45" xfId="0" applyNumberFormat="1" applyFont="1" applyFill="1" applyBorder="1" applyAlignment="1">
      <alignment horizontal="right" wrapText="1"/>
    </xf>
    <xf numFmtId="1" fontId="2" fillId="23" borderId="49" xfId="0" applyNumberFormat="1" applyFont="1" applyFill="1" applyBorder="1" applyAlignment="1">
      <alignment horizontal="right" wrapText="1"/>
    </xf>
    <xf numFmtId="1" fontId="6" fillId="22" borderId="61" xfId="0" applyNumberFormat="1" applyFont="1" applyFill="1" applyBorder="1" applyAlignment="1">
      <alignment horizontal="right" wrapText="1"/>
    </xf>
    <xf numFmtId="1" fontId="6" fillId="22" borderId="1" xfId="0" applyNumberFormat="1" applyFont="1" applyFill="1" applyBorder="1" applyAlignment="1">
      <alignment horizontal="right" wrapText="1"/>
    </xf>
    <xf numFmtId="1" fontId="6" fillId="22" borderId="21" xfId="0" applyNumberFormat="1" applyFont="1" applyFill="1" applyBorder="1" applyAlignment="1">
      <alignment horizontal="right" wrapText="1"/>
    </xf>
    <xf numFmtId="1" fontId="6" fillId="22" borderId="35" xfId="0" applyNumberFormat="1" applyFont="1" applyFill="1" applyBorder="1" applyAlignment="1">
      <alignment horizontal="right" wrapText="1"/>
    </xf>
    <xf numFmtId="1" fontId="2" fillId="23" borderId="4" xfId="0" applyNumberFormat="1" applyFont="1" applyFill="1" applyBorder="1" applyAlignment="1">
      <alignment horizontal="right" wrapText="1"/>
    </xf>
    <xf numFmtId="2" fontId="6" fillId="22" borderId="50" xfId="0" applyNumberFormat="1" applyFont="1" applyFill="1" applyBorder="1" applyAlignment="1">
      <alignment horizontal="right" wrapText="1"/>
    </xf>
    <xf numFmtId="2" fontId="6" fillId="22" borderId="1" xfId="0" applyNumberFormat="1" applyFont="1" applyFill="1" applyBorder="1" applyAlignment="1">
      <alignment horizontal="right" wrapText="1"/>
    </xf>
    <xf numFmtId="2" fontId="2" fillId="23" borderId="4" xfId="0" applyNumberFormat="1" applyFont="1" applyFill="1" applyBorder="1" applyAlignment="1">
      <alignment horizontal="right" wrapText="1"/>
    </xf>
    <xf numFmtId="1" fontId="6" fillId="22" borderId="50" xfId="0" applyNumberFormat="1" applyFont="1" applyFill="1" applyBorder="1" applyAlignment="1">
      <alignment horizontal="right" wrapText="1"/>
    </xf>
    <xf numFmtId="1" fontId="6" fillId="21" borderId="1" xfId="0" applyNumberFormat="1" applyFont="1" applyFill="1" applyBorder="1" applyAlignment="1">
      <alignment horizontal="right" wrapText="1"/>
    </xf>
    <xf numFmtId="1" fontId="6" fillId="21" borderId="21" xfId="0" applyNumberFormat="1" applyFont="1" applyFill="1" applyBorder="1" applyAlignment="1">
      <alignment horizontal="right" wrapText="1"/>
    </xf>
    <xf numFmtId="1" fontId="6" fillId="21" borderId="35" xfId="0" applyNumberFormat="1" applyFont="1" applyFill="1" applyBorder="1" applyAlignment="1">
      <alignment horizontal="right" wrapText="1"/>
    </xf>
    <xf numFmtId="1" fontId="2" fillId="21" borderId="4" xfId="0" applyNumberFormat="1" applyFont="1" applyFill="1" applyBorder="1" applyAlignment="1">
      <alignment horizontal="right" wrapText="1"/>
    </xf>
    <xf numFmtId="1" fontId="6" fillId="21" borderId="50" xfId="0" applyNumberFormat="1" applyFont="1" applyFill="1" applyBorder="1" applyAlignment="1">
      <alignment horizontal="right" wrapText="1"/>
    </xf>
    <xf numFmtId="2" fontId="6" fillId="22" borderId="24" xfId="0" applyNumberFormat="1" applyFont="1" applyFill="1" applyBorder="1" applyAlignment="1">
      <alignment horizontal="right" wrapText="1"/>
    </xf>
    <xf numFmtId="1" fontId="6" fillId="22" borderId="58" xfId="0" applyNumberFormat="1" applyFont="1" applyFill="1" applyBorder="1" applyAlignment="1">
      <alignment horizontal="right" wrapText="1"/>
    </xf>
    <xf numFmtId="1" fontId="6" fillId="22" borderId="68" xfId="0" applyNumberFormat="1" applyFont="1" applyFill="1" applyBorder="1" applyAlignment="1">
      <alignment horizontal="right" wrapText="1"/>
    </xf>
    <xf numFmtId="2" fontId="2" fillId="23" borderId="49" xfId="0" applyNumberFormat="1" applyFont="1" applyFill="1" applyBorder="1" applyAlignment="1">
      <alignment horizontal="right" wrapText="1"/>
    </xf>
    <xf numFmtId="165" fontId="6" fillId="22" borderId="39" xfId="0" applyNumberFormat="1" applyFont="1" applyFill="1" applyBorder="1" applyAlignment="1">
      <alignment horizontal="right" wrapText="1"/>
    </xf>
    <xf numFmtId="166" fontId="6" fillId="20" borderId="5" xfId="0" applyNumberFormat="1" applyFont="1" applyFill="1" applyBorder="1" applyAlignment="1">
      <alignment horizontal="right" wrapText="1"/>
    </xf>
    <xf numFmtId="1" fontId="6" fillId="20" borderId="23" xfId="0" applyNumberFormat="1" applyFont="1" applyFill="1" applyBorder="1" applyAlignment="1">
      <alignment horizontal="right" wrapText="1"/>
    </xf>
    <xf numFmtId="1" fontId="6" fillId="20" borderId="45" xfId="0" applyNumberFormat="1" applyFont="1" applyFill="1" applyBorder="1" applyAlignment="1">
      <alignment horizontal="right" wrapText="1"/>
    </xf>
    <xf numFmtId="166" fontId="2" fillId="20" borderId="3" xfId="0" applyNumberFormat="1" applyFont="1" applyFill="1" applyBorder="1" applyAlignment="1">
      <alignment horizontal="right" wrapText="1"/>
    </xf>
    <xf numFmtId="165" fontId="6" fillId="20" borderId="61" xfId="0" applyNumberFormat="1" applyFont="1" applyFill="1" applyBorder="1" applyAlignment="1">
      <alignment horizontal="right" wrapText="1"/>
    </xf>
    <xf numFmtId="166" fontId="6" fillId="20" borderId="25" xfId="0" applyNumberFormat="1" applyFont="1" applyFill="1" applyBorder="1" applyAlignment="1">
      <alignment horizontal="right" wrapText="1"/>
    </xf>
    <xf numFmtId="1" fontId="6" fillId="20" borderId="26" xfId="0" applyNumberFormat="1" applyFont="1" applyFill="1" applyBorder="1" applyAlignment="1">
      <alignment horizontal="right" wrapText="1"/>
    </xf>
    <xf numFmtId="1" fontId="6" fillId="20" borderId="57" xfId="0" applyNumberFormat="1" applyFont="1" applyFill="1" applyBorder="1" applyAlignment="1">
      <alignment horizontal="right" wrapText="1"/>
    </xf>
    <xf numFmtId="166" fontId="2" fillId="20" borderId="56" xfId="0" applyNumberFormat="1" applyFont="1" applyFill="1" applyBorder="1" applyAlignment="1">
      <alignment horizontal="right" wrapText="1"/>
    </xf>
    <xf numFmtId="165" fontId="6" fillId="20" borderId="62" xfId="0" applyNumberFormat="1" applyFont="1" applyFill="1" applyBorder="1" applyAlignment="1">
      <alignment horizontal="right" wrapText="1"/>
    </xf>
    <xf numFmtId="2" fontId="6" fillId="22" borderId="5" xfId="0" applyNumberFormat="1" applyFont="1" applyFill="1" applyBorder="1" applyAlignment="1">
      <alignment horizontal="right" wrapText="1"/>
    </xf>
    <xf numFmtId="2" fontId="2" fillId="23" borderId="3" xfId="0" applyNumberFormat="1" applyFont="1" applyFill="1" applyBorder="1" applyAlignment="1">
      <alignment horizontal="right" wrapText="1"/>
    </xf>
    <xf numFmtId="1" fontId="6" fillId="22" borderId="25" xfId="0" applyNumberFormat="1" applyFont="1" applyFill="1" applyBorder="1" applyAlignment="1">
      <alignment horizontal="right" wrapText="1"/>
    </xf>
    <xf numFmtId="1" fontId="6" fillId="22" borderId="26" xfId="0" applyNumberFormat="1" applyFont="1" applyFill="1" applyBorder="1" applyAlignment="1">
      <alignment horizontal="right" wrapText="1"/>
    </xf>
    <xf numFmtId="1" fontId="6" fillId="22" borderId="57" xfId="0" applyNumberFormat="1" applyFont="1" applyFill="1" applyBorder="1" applyAlignment="1">
      <alignment horizontal="right" wrapText="1"/>
    </xf>
    <xf numFmtId="1" fontId="2" fillId="23" borderId="56" xfId="0" applyNumberFormat="1" applyFont="1" applyFill="1" applyBorder="1" applyAlignment="1">
      <alignment horizontal="right" wrapText="1"/>
    </xf>
    <xf numFmtId="165" fontId="6" fillId="22" borderId="62" xfId="0" applyNumberFormat="1" applyFont="1" applyFill="1" applyBorder="1" applyAlignment="1">
      <alignment horizontal="right" wrapText="1"/>
    </xf>
    <xf numFmtId="2" fontId="6" fillId="20" borderId="5" xfId="0" applyNumberFormat="1" applyFont="1" applyFill="1" applyBorder="1" applyAlignment="1">
      <alignment horizontal="right" wrapText="1"/>
    </xf>
    <xf numFmtId="2" fontId="6" fillId="20" borderId="25" xfId="0" applyNumberFormat="1" applyFont="1" applyFill="1" applyBorder="1" applyAlignment="1">
      <alignment horizontal="right" wrapText="1"/>
    </xf>
    <xf numFmtId="1" fontId="6" fillId="20" borderId="64" xfId="0" applyNumberFormat="1" applyFont="1" applyFill="1" applyBorder="1" applyAlignment="1">
      <alignment horizontal="right" wrapText="1"/>
    </xf>
    <xf numFmtId="1" fontId="8" fillId="21" borderId="5" xfId="0" applyNumberFormat="1" applyFont="1" applyFill="1" applyBorder="1" applyAlignment="1">
      <alignment horizontal="right" wrapText="1"/>
    </xf>
    <xf numFmtId="1" fontId="8" fillId="21" borderId="23" xfId="0" applyNumberFormat="1" applyFont="1" applyFill="1" applyBorder="1" applyAlignment="1">
      <alignment horizontal="right" wrapText="1"/>
    </xf>
    <xf numFmtId="1" fontId="8" fillId="21" borderId="45" xfId="0" applyNumberFormat="1" applyFont="1" applyFill="1" applyBorder="1" applyAlignment="1">
      <alignment horizontal="right" wrapText="1"/>
    </xf>
    <xf numFmtId="1" fontId="7" fillId="21" borderId="3" xfId="0" applyNumberFormat="1" applyFont="1" applyFill="1" applyBorder="1" applyAlignment="1">
      <alignment horizontal="right" wrapText="1"/>
    </xf>
    <xf numFmtId="1" fontId="8" fillId="21" borderId="61" xfId="0" applyNumberFormat="1" applyFont="1" applyFill="1" applyBorder="1" applyAlignment="1">
      <alignment horizontal="right" wrapText="1"/>
    </xf>
    <xf numFmtId="1" fontId="2" fillId="23" borderId="42" xfId="0" applyNumberFormat="1" applyFont="1" applyFill="1" applyBorder="1" applyAlignment="1">
      <alignment horizontal="right" wrapText="1"/>
    </xf>
    <xf numFmtId="1" fontId="6" fillId="22" borderId="44" xfId="0" applyNumberFormat="1" applyFont="1" applyFill="1" applyBorder="1" applyAlignment="1">
      <alignment horizontal="right" wrapText="1"/>
    </xf>
    <xf numFmtId="1" fontId="2" fillId="22" borderId="13" xfId="0" applyNumberFormat="1" applyFont="1" applyFill="1" applyBorder="1" applyAlignment="1">
      <alignment horizontal="right" wrapText="1"/>
    </xf>
    <xf numFmtId="1" fontId="2" fillId="22" borderId="51" xfId="0" applyNumberFormat="1" applyFont="1" applyFill="1" applyBorder="1" applyAlignment="1">
      <alignment horizontal="right" wrapText="1"/>
    </xf>
    <xf numFmtId="1" fontId="2" fillId="22" borderId="18" xfId="0" applyNumberFormat="1" applyFont="1" applyFill="1" applyBorder="1" applyAlignment="1">
      <alignment horizontal="right" wrapText="1"/>
    </xf>
    <xf numFmtId="1" fontId="2" fillId="23" borderId="9" xfId="0" applyNumberFormat="1" applyFont="1" applyFill="1" applyBorder="1" applyAlignment="1">
      <alignment horizontal="right" wrapText="1"/>
    </xf>
    <xf numFmtId="1" fontId="2" fillId="22" borderId="20" xfId="0" applyNumberFormat="1" applyFont="1" applyFill="1" applyBorder="1" applyAlignment="1">
      <alignment horizontal="right" wrapText="1"/>
    </xf>
    <xf numFmtId="3" fontId="2" fillId="11" borderId="9" xfId="0" applyNumberFormat="1" applyFont="1" applyFill="1" applyBorder="1" applyAlignment="1">
      <alignment wrapText="1"/>
    </xf>
    <xf numFmtId="0" fontId="2" fillId="0" borderId="14" xfId="0" applyFont="1" applyBorder="1" applyAlignment="1">
      <alignment horizontal="center" vertical="center" wrapText="1"/>
    </xf>
    <xf numFmtId="0" fontId="0" fillId="11" borderId="32" xfId="0" applyFill="1" applyBorder="1" applyAlignment="1">
      <alignment wrapText="1"/>
    </xf>
    <xf numFmtId="0" fontId="6" fillId="3" borderId="29" xfId="0" applyFont="1" applyFill="1" applyBorder="1" applyAlignment="1">
      <alignment wrapText="1"/>
    </xf>
    <xf numFmtId="0" fontId="6" fillId="29" borderId="56" xfId="0" applyFont="1" applyFill="1" applyBorder="1" applyAlignment="1">
      <alignment wrapText="1"/>
    </xf>
    <xf numFmtId="0" fontId="6" fillId="29" borderId="25" xfId="0" applyFont="1" applyFill="1" applyBorder="1" applyAlignment="1">
      <alignment wrapText="1"/>
    </xf>
    <xf numFmtId="0" fontId="0" fillId="29" borderId="25" xfId="0" applyFill="1" applyBorder="1" applyAlignment="1">
      <alignment wrapText="1"/>
    </xf>
    <xf numFmtId="0" fontId="6" fillId="29" borderId="33" xfId="0" applyFont="1" applyFill="1" applyBorder="1" applyAlignment="1">
      <alignment wrapText="1"/>
    </xf>
    <xf numFmtId="0" fontId="0" fillId="13" borderId="0" xfId="0" applyFill="1" applyAlignment="1">
      <alignment wrapText="1"/>
    </xf>
    <xf numFmtId="0" fontId="2" fillId="0" borderId="14" xfId="0" applyFont="1" applyBorder="1" applyAlignment="1">
      <alignment horizontal="center" vertical="center" wrapText="1"/>
    </xf>
    <xf numFmtId="0" fontId="2" fillId="8" borderId="41" xfId="0" applyFont="1" applyFill="1" applyBorder="1" applyAlignment="1">
      <alignment horizontal="center" wrapText="1"/>
    </xf>
    <xf numFmtId="0" fontId="2" fillId="8" borderId="47" xfId="0" applyFont="1" applyFill="1" applyBorder="1" applyAlignment="1">
      <alignment horizontal="center" wrapText="1"/>
    </xf>
    <xf numFmtId="0" fontId="2" fillId="8" borderId="8" xfId="0" applyFont="1" applyFill="1" applyBorder="1" applyAlignment="1">
      <alignment horizontal="center" wrapText="1"/>
    </xf>
    <xf numFmtId="0" fontId="2" fillId="8" borderId="20" xfId="0" applyFont="1" applyFill="1" applyBorder="1" applyAlignment="1">
      <alignment horizontal="center" wrapText="1"/>
    </xf>
    <xf numFmtId="0" fontId="2" fillId="16" borderId="22" xfId="0" applyFont="1" applyFill="1" applyBorder="1" applyAlignment="1">
      <alignment horizontal="center" wrapText="1"/>
    </xf>
    <xf numFmtId="0" fontId="2" fillId="16" borderId="47" xfId="0" applyFont="1" applyFill="1" applyBorder="1" applyAlignment="1">
      <alignment horizontal="center" wrapText="1"/>
    </xf>
    <xf numFmtId="0" fontId="2" fillId="16" borderId="8" xfId="0" applyFont="1" applyFill="1" applyBorder="1" applyAlignment="1">
      <alignment horizontal="center" wrapText="1"/>
    </xf>
    <xf numFmtId="0" fontId="2" fillId="16" borderId="9" xfId="0" applyFont="1" applyFill="1" applyBorder="1" applyAlignment="1">
      <alignment horizontal="center" wrapText="1"/>
    </xf>
    <xf numFmtId="11" fontId="6" fillId="30" borderId="49" xfId="0" applyNumberFormat="1" applyFont="1" applyFill="1" applyBorder="1" applyAlignment="1">
      <alignment wrapText="1"/>
    </xf>
    <xf numFmtId="11" fontId="0" fillId="30" borderId="4" xfId="0" applyNumberFormat="1" applyFill="1" applyBorder="1" applyAlignment="1">
      <alignment wrapText="1"/>
    </xf>
    <xf numFmtId="11" fontId="6" fillId="30" borderId="3" xfId="0" applyNumberFormat="1" applyFont="1" applyFill="1" applyBorder="1" applyAlignment="1">
      <alignment wrapText="1"/>
    </xf>
    <xf numFmtId="0" fontId="2" fillId="30" borderId="9" xfId="0" applyFont="1" applyFill="1" applyBorder="1" applyAlignment="1">
      <alignment wrapText="1"/>
    </xf>
    <xf numFmtId="0" fontId="0" fillId="30" borderId="9" xfId="0" applyFill="1" applyBorder="1" applyAlignment="1">
      <alignment wrapText="1"/>
    </xf>
    <xf numFmtId="11" fontId="0" fillId="30" borderId="3" xfId="0" applyNumberFormat="1" applyFill="1" applyBorder="1" applyAlignment="1">
      <alignment wrapText="1"/>
    </xf>
    <xf numFmtId="11" fontId="0" fillId="30" borderId="56" xfId="0" applyNumberFormat="1" applyFill="1" applyBorder="1" applyAlignment="1">
      <alignment wrapText="1"/>
    </xf>
    <xf numFmtId="0" fontId="0" fillId="30" borderId="42" xfId="0" applyFill="1" applyBorder="1" applyAlignment="1">
      <alignment wrapText="1"/>
    </xf>
    <xf numFmtId="0" fontId="2" fillId="30" borderId="48" xfId="0" applyFont="1" applyFill="1" applyBorder="1" applyAlignment="1">
      <alignment horizontal="center" vertical="center" wrapText="1"/>
    </xf>
    <xf numFmtId="0" fontId="2" fillId="30" borderId="16" xfId="0" applyFont="1" applyFill="1" applyBorder="1" applyAlignment="1">
      <alignment wrapText="1"/>
    </xf>
    <xf numFmtId="11" fontId="2" fillId="30" borderId="22" xfId="0" applyNumberFormat="1" applyFont="1" applyFill="1" applyBorder="1" applyAlignment="1">
      <alignment horizontal="center" vertical="center" wrapText="1"/>
    </xf>
    <xf numFmtId="0" fontId="2" fillId="30" borderId="22" xfId="0" applyFont="1" applyFill="1" applyBorder="1" applyAlignment="1">
      <alignment horizontal="center" vertical="center" wrapText="1"/>
    </xf>
    <xf numFmtId="0" fontId="2" fillId="30" borderId="8" xfId="0" applyFont="1" applyFill="1" applyBorder="1" applyAlignment="1">
      <alignment horizontal="center" vertical="center" wrapText="1"/>
    </xf>
    <xf numFmtId="0" fontId="2" fillId="30" borderId="47" xfId="0" applyFont="1" applyFill="1" applyBorder="1" applyAlignment="1">
      <alignment horizontal="center" wrapText="1"/>
    </xf>
    <xf numFmtId="0" fontId="2" fillId="30" borderId="22" xfId="0" applyFont="1" applyFill="1" applyBorder="1" applyAlignment="1">
      <alignment horizontal="center" wrapText="1"/>
    </xf>
    <xf numFmtId="0" fontId="2" fillId="30" borderId="8" xfId="0" applyFont="1" applyFill="1" applyBorder="1" applyAlignment="1">
      <alignment horizontal="center" wrapText="1"/>
    </xf>
    <xf numFmtId="0" fontId="2" fillId="30" borderId="9" xfId="0" applyFont="1" applyFill="1" applyBorder="1" applyAlignment="1">
      <alignment horizontal="center" wrapText="1"/>
    </xf>
    <xf numFmtId="11" fontId="6" fillId="8" borderId="49" xfId="0" applyNumberFormat="1" applyFont="1" applyFill="1" applyBorder="1" applyAlignment="1">
      <alignment horizontal="center" wrapText="1"/>
    </xf>
    <xf numFmtId="11" fontId="6" fillId="8" borderId="10" xfId="0" applyNumberFormat="1" applyFont="1" applyFill="1" applyBorder="1" applyAlignment="1">
      <alignment horizontal="center" wrapText="1"/>
    </xf>
    <xf numFmtId="11" fontId="6" fillId="8" borderId="4" xfId="0" applyNumberFormat="1" applyFont="1" applyFill="1" applyBorder="1" applyAlignment="1">
      <alignment horizontal="center" wrapText="1"/>
    </xf>
    <xf numFmtId="11" fontId="6" fillId="8" borderId="12" xfId="0" applyNumberFormat="1" applyFont="1" applyFill="1" applyBorder="1" applyAlignment="1">
      <alignment horizontal="center" wrapText="1"/>
    </xf>
    <xf numFmtId="11" fontId="6" fillId="8" borderId="42" xfId="0" applyNumberFormat="1" applyFont="1" applyFill="1" applyBorder="1" applyAlignment="1">
      <alignment horizontal="center" wrapText="1"/>
    </xf>
    <xf numFmtId="11" fontId="2" fillId="8" borderId="14" xfId="0" applyNumberFormat="1" applyFont="1" applyFill="1" applyBorder="1" applyAlignment="1">
      <alignment wrapText="1"/>
    </xf>
    <xf numFmtId="11" fontId="6" fillId="8" borderId="67" xfId="0" applyNumberFormat="1" applyFont="1" applyFill="1" applyBorder="1" applyAlignment="1">
      <alignment horizontal="center" wrapText="1"/>
    </xf>
    <xf numFmtId="11" fontId="6" fillId="8" borderId="66" xfId="0" applyNumberFormat="1" applyFont="1" applyFill="1" applyBorder="1" applyAlignment="1">
      <alignment horizontal="center" wrapText="1"/>
    </xf>
    <xf numFmtId="11" fontId="6" fillId="8" borderId="43" xfId="0" applyNumberFormat="1" applyFont="1" applyFill="1" applyBorder="1" applyAlignment="1">
      <alignment horizontal="center" wrapText="1"/>
    </xf>
    <xf numFmtId="0" fontId="0" fillId="11" borderId="33" xfId="0" applyFill="1" applyBorder="1" applyAlignment="1">
      <alignment wrapText="1"/>
    </xf>
    <xf numFmtId="0" fontId="0" fillId="11" borderId="37" xfId="0" applyFill="1" applyBorder="1" applyAlignment="1">
      <alignment wrapText="1"/>
    </xf>
    <xf numFmtId="1" fontId="0" fillId="11" borderId="29" xfId="0" applyNumberFormat="1" applyFill="1" applyBorder="1" applyAlignment="1">
      <alignment wrapText="1"/>
    </xf>
    <xf numFmtId="1" fontId="0" fillId="11" borderId="9" xfId="0" applyNumberFormat="1" applyFill="1" applyBorder="1" applyAlignment="1">
      <alignment wrapText="1"/>
    </xf>
    <xf numFmtId="0" fontId="6" fillId="0" borderId="0" xfId="0" applyFont="1" applyFill="1" applyBorder="1" applyAlignment="1">
      <alignment vertical="center" wrapText="1"/>
    </xf>
    <xf numFmtId="1" fontId="0" fillId="25" borderId="53" xfId="0" applyNumberFormat="1" applyFill="1" applyBorder="1" applyAlignment="1">
      <alignment vertical="center" wrapText="1"/>
    </xf>
    <xf numFmtId="43" fontId="0" fillId="22" borderId="36" xfId="2" applyFont="1" applyFill="1" applyBorder="1" applyAlignment="1">
      <alignment wrapText="1"/>
    </xf>
    <xf numFmtId="1" fontId="6" fillId="32" borderId="1" xfId="0" applyNumberFormat="1" applyFont="1" applyFill="1" applyBorder="1" applyAlignment="1">
      <alignment wrapText="1"/>
    </xf>
    <xf numFmtId="1" fontId="4" fillId="32" borderId="1" xfId="0" applyNumberFormat="1" applyFont="1" applyFill="1" applyBorder="1" applyAlignment="1">
      <alignment wrapText="1"/>
    </xf>
    <xf numFmtId="0" fontId="0" fillId="32" borderId="1" xfId="0" applyFill="1" applyBorder="1" applyAlignment="1">
      <alignment wrapText="1"/>
    </xf>
    <xf numFmtId="0" fontId="0" fillId="17" borderId="36" xfId="0" applyFill="1" applyBorder="1" applyAlignment="1">
      <alignment wrapText="1"/>
    </xf>
    <xf numFmtId="0" fontId="0" fillId="17" borderId="32" xfId="0" applyFill="1" applyBorder="1" applyAlignment="1">
      <alignment wrapText="1"/>
    </xf>
    <xf numFmtId="1" fontId="6" fillId="29" borderId="1" xfId="0" applyNumberFormat="1" applyFont="1" applyFill="1" applyBorder="1" applyAlignment="1">
      <alignment horizontal="right" wrapText="1"/>
    </xf>
    <xf numFmtId="1" fontId="6" fillId="29" borderId="33" xfId="0" applyNumberFormat="1" applyFont="1" applyFill="1" applyBorder="1" applyAlignment="1">
      <alignment horizontal="right" wrapText="1"/>
    </xf>
    <xf numFmtId="1" fontId="6" fillId="29" borderId="37" xfId="0" applyNumberFormat="1" applyFont="1" applyFill="1" applyBorder="1" applyAlignment="1">
      <alignment horizontal="right" wrapText="1"/>
    </xf>
    <xf numFmtId="1" fontId="2" fillId="29" borderId="4" xfId="0" applyNumberFormat="1" applyFont="1" applyFill="1" applyBorder="1" applyAlignment="1">
      <alignment horizontal="right" wrapText="1"/>
    </xf>
    <xf numFmtId="2" fontId="6" fillId="29" borderId="50" xfId="0" applyNumberFormat="1" applyFont="1" applyFill="1" applyBorder="1" applyAlignment="1">
      <alignment horizontal="right" wrapText="1"/>
    </xf>
    <xf numFmtId="0" fontId="16" fillId="0" borderId="0" xfId="0" applyFont="1" applyFill="1" applyAlignment="1">
      <alignment wrapText="1"/>
    </xf>
    <xf numFmtId="11" fontId="0" fillId="30" borderId="42" xfId="0" applyNumberFormat="1" applyFill="1" applyBorder="1" applyAlignment="1">
      <alignment wrapText="1"/>
    </xf>
    <xf numFmtId="11" fontId="6" fillId="29" borderId="10" xfId="0" applyNumberFormat="1" applyFont="1" applyFill="1" applyBorder="1" applyAlignment="1">
      <alignment horizontal="center" wrapText="1"/>
    </xf>
    <xf numFmtId="11" fontId="2" fillId="8" borderId="20" xfId="0" applyNumberFormat="1" applyFont="1" applyFill="1" applyBorder="1" applyAlignment="1">
      <alignment wrapText="1"/>
    </xf>
    <xf numFmtId="11" fontId="6" fillId="8" borderId="70" xfId="0" applyNumberFormat="1" applyFont="1" applyFill="1" applyBorder="1" applyAlignment="1">
      <alignment horizontal="center" wrapText="1"/>
    </xf>
    <xf numFmtId="11" fontId="6" fillId="29" borderId="12" xfId="0" applyNumberFormat="1" applyFont="1" applyFill="1" applyBorder="1" applyAlignment="1">
      <alignment horizontal="center" wrapText="1"/>
    </xf>
    <xf numFmtId="1" fontId="6" fillId="32" borderId="1" xfId="0" applyNumberFormat="1" applyFont="1" applyFill="1" applyBorder="1" applyAlignment="1">
      <alignment horizontal="right" wrapText="1"/>
    </xf>
    <xf numFmtId="1" fontId="6" fillId="32" borderId="21" xfId="0" applyNumberFormat="1" applyFont="1" applyFill="1" applyBorder="1" applyAlignment="1">
      <alignment horizontal="right" wrapText="1"/>
    </xf>
    <xf numFmtId="1" fontId="6" fillId="32" borderId="35" xfId="0" applyNumberFormat="1" applyFont="1" applyFill="1" applyBorder="1" applyAlignment="1">
      <alignment horizontal="right" wrapText="1"/>
    </xf>
    <xf numFmtId="1" fontId="2" fillId="32" borderId="4" xfId="0" applyNumberFormat="1" applyFont="1" applyFill="1" applyBorder="1" applyAlignment="1">
      <alignment horizontal="right" wrapText="1"/>
    </xf>
    <xf numFmtId="1" fontId="6" fillId="32" borderId="50" xfId="0" applyNumberFormat="1" applyFont="1" applyFill="1" applyBorder="1" applyAlignment="1">
      <alignment horizontal="right" wrapText="1"/>
    </xf>
    <xf numFmtId="11" fontId="0" fillId="29" borderId="4" xfId="0" applyNumberFormat="1" applyFill="1" applyBorder="1" applyAlignment="1">
      <alignment wrapText="1"/>
    </xf>
    <xf numFmtId="1" fontId="0" fillId="32" borderId="36" xfId="0" applyNumberFormat="1" applyFill="1" applyBorder="1" applyAlignment="1">
      <alignment wrapText="1"/>
    </xf>
    <xf numFmtId="0" fontId="0" fillId="32" borderId="21" xfId="0" applyFill="1" applyBorder="1" applyAlignment="1">
      <alignment wrapText="1"/>
    </xf>
    <xf numFmtId="0" fontId="0" fillId="32" borderId="35" xfId="0" applyFill="1" applyBorder="1" applyAlignment="1">
      <alignment wrapText="1"/>
    </xf>
    <xf numFmtId="1" fontId="2" fillId="32" borderId="3" xfId="0" applyNumberFormat="1" applyFont="1" applyFill="1" applyBorder="1" applyAlignment="1">
      <alignment wrapText="1"/>
    </xf>
    <xf numFmtId="2" fontId="0" fillId="32" borderId="70" xfId="0" applyNumberFormat="1" applyFill="1" applyBorder="1" applyAlignment="1">
      <alignment wrapText="1"/>
    </xf>
    <xf numFmtId="1" fontId="0" fillId="32" borderId="2" xfId="0" applyNumberFormat="1" applyFill="1" applyBorder="1" applyAlignment="1">
      <alignment wrapText="1"/>
    </xf>
    <xf numFmtId="0" fontId="6" fillId="4" borderId="42" xfId="0" applyFont="1" applyFill="1" applyBorder="1" applyAlignment="1">
      <alignment horizontal="center" wrapText="1"/>
    </xf>
    <xf numFmtId="165" fontId="0" fillId="11" borderId="9" xfId="0" applyNumberFormat="1" applyFill="1" applyBorder="1"/>
    <xf numFmtId="0" fontId="6" fillId="3" borderId="12" xfId="0" applyFont="1" applyFill="1" applyBorder="1" applyAlignment="1">
      <alignment horizontal="center" vertical="center" wrapText="1"/>
    </xf>
    <xf numFmtId="1" fontId="2" fillId="15" borderId="9" xfId="0" applyNumberFormat="1" applyFont="1" applyFill="1" applyBorder="1" applyAlignment="1">
      <alignment horizontal="right" wrapText="1"/>
    </xf>
    <xf numFmtId="1" fontId="2" fillId="15" borderId="14" xfId="0" applyNumberFormat="1" applyFont="1" applyFill="1" applyBorder="1" applyAlignment="1">
      <alignment horizontal="right" wrapText="1"/>
    </xf>
    <xf numFmtId="1" fontId="6" fillId="29" borderId="36" xfId="0" applyNumberFormat="1" applyFont="1" applyFill="1" applyBorder="1" applyAlignment="1">
      <alignment wrapText="1"/>
    </xf>
    <xf numFmtId="0" fontId="0" fillId="29" borderId="33" xfId="0" applyFill="1" applyBorder="1" applyAlignment="1">
      <alignment wrapText="1"/>
    </xf>
    <xf numFmtId="0" fontId="0" fillId="29" borderId="37" xfId="0" applyFill="1" applyBorder="1" applyAlignment="1">
      <alignment wrapText="1"/>
    </xf>
    <xf numFmtId="1" fontId="2" fillId="29" borderId="3" xfId="0" applyNumberFormat="1" applyFont="1" applyFill="1" applyBorder="1" applyAlignment="1">
      <alignment wrapText="1"/>
    </xf>
    <xf numFmtId="2" fontId="0" fillId="29" borderId="72" xfId="0" applyNumberFormat="1" applyFill="1" applyBorder="1" applyAlignment="1">
      <alignment wrapText="1"/>
    </xf>
    <xf numFmtId="2" fontId="0" fillId="11" borderId="29" xfId="0" applyNumberFormat="1" applyFill="1" applyBorder="1" applyAlignment="1">
      <alignment wrapText="1"/>
    </xf>
    <xf numFmtId="2" fontId="0" fillId="15" borderId="3" xfId="0" applyNumberFormat="1" applyFill="1" applyBorder="1" applyAlignment="1">
      <alignment wrapText="1"/>
    </xf>
    <xf numFmtId="0" fontId="0" fillId="0" borderId="28" xfId="0" applyBorder="1"/>
    <xf numFmtId="2" fontId="6" fillId="14" borderId="50" xfId="0" applyNumberFormat="1" applyFont="1" applyFill="1" applyBorder="1" applyAlignment="1">
      <alignment horizontal="right" wrapText="1"/>
    </xf>
    <xf numFmtId="0" fontId="11" fillId="6" borderId="0" xfId="0" applyFont="1" applyFill="1" applyAlignment="1">
      <alignment wrapText="1"/>
    </xf>
    <xf numFmtId="0" fontId="2" fillId="0" borderId="0" xfId="0" applyFont="1" applyFill="1" applyBorder="1" applyAlignment="1">
      <alignment horizontal="center" vertical="center" wrapText="1"/>
    </xf>
    <xf numFmtId="0" fontId="0" fillId="0" borderId="0" xfId="0" applyFill="1" applyBorder="1"/>
    <xf numFmtId="0" fontId="2" fillId="0" borderId="0" xfId="0" applyFont="1" applyFill="1" applyBorder="1" applyAlignment="1">
      <alignment wrapText="1"/>
    </xf>
    <xf numFmtId="2" fontId="0" fillId="22" borderId="1" xfId="0" applyNumberFormat="1" applyFill="1" applyBorder="1" applyAlignment="1">
      <alignment wrapText="1"/>
    </xf>
    <xf numFmtId="0" fontId="0" fillId="33" borderId="0" xfId="0" applyFill="1" applyAlignment="1">
      <alignment wrapText="1"/>
    </xf>
    <xf numFmtId="1" fontId="0" fillId="0" borderId="0" xfId="0" applyNumberFormat="1" applyFill="1" applyBorder="1"/>
    <xf numFmtId="2" fontId="0" fillId="0" borderId="0" xfId="0" applyNumberFormat="1" applyFill="1" applyBorder="1"/>
    <xf numFmtId="165" fontId="0" fillId="0" borderId="0" xfId="0" applyNumberFormat="1" applyFill="1" applyBorder="1"/>
    <xf numFmtId="2" fontId="6" fillId="0" borderId="0" xfId="0" applyNumberFormat="1" applyFont="1" applyFill="1" applyBorder="1"/>
    <xf numFmtId="1" fontId="12" fillId="0" borderId="0" xfId="0" applyNumberFormat="1" applyFont="1" applyFill="1" applyBorder="1"/>
    <xf numFmtId="0" fontId="2" fillId="0" borderId="0" xfId="0" applyFont="1" applyFill="1" applyBorder="1"/>
    <xf numFmtId="165" fontId="2" fillId="0" borderId="0" xfId="0" applyNumberFormat="1" applyFont="1" applyFill="1" applyBorder="1"/>
    <xf numFmtId="165" fontId="0" fillId="22" borderId="9" xfId="0" applyNumberFormat="1" applyFill="1" applyBorder="1"/>
    <xf numFmtId="166" fontId="0" fillId="14" borderId="9" xfId="0" applyNumberFormat="1" applyFill="1" applyBorder="1"/>
    <xf numFmtId="166" fontId="0" fillId="22" borderId="9" xfId="0" applyNumberFormat="1" applyFill="1" applyBorder="1"/>
    <xf numFmtId="0" fontId="6" fillId="4" borderId="4" xfId="0" applyFont="1" applyFill="1" applyBorder="1" applyAlignment="1">
      <alignment horizontal="center" vertical="center" wrapText="1"/>
    </xf>
    <xf numFmtId="1" fontId="6" fillId="26" borderId="9" xfId="0" applyNumberFormat="1" applyFont="1" applyFill="1" applyBorder="1"/>
    <xf numFmtId="165" fontId="6" fillId="26" borderId="9" xfId="0" applyNumberFormat="1" applyFont="1" applyFill="1" applyBorder="1"/>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6" fillId="19" borderId="9" xfId="0" applyFont="1" applyFill="1" applyBorder="1" applyAlignment="1">
      <alignment horizontal="center" vertical="center" wrapText="1"/>
    </xf>
    <xf numFmtId="0" fontId="2" fillId="2" borderId="9" xfId="0" applyFont="1" applyFill="1" applyBorder="1" applyAlignment="1">
      <alignment vertical="center" wrapText="1"/>
    </xf>
    <xf numFmtId="0" fontId="6" fillId="3" borderId="3" xfId="0" applyFont="1" applyFill="1" applyBorder="1" applyAlignment="1">
      <alignment horizontal="center" vertical="center" wrapText="1"/>
    </xf>
    <xf numFmtId="0" fontId="6" fillId="3" borderId="56" xfId="0" applyFont="1" applyFill="1" applyBorder="1" applyAlignment="1">
      <alignment horizontal="center" vertical="center" wrapText="1"/>
    </xf>
    <xf numFmtId="0" fontId="6" fillId="19" borderId="3" xfId="0" applyFont="1" applyFill="1" applyBorder="1" applyAlignment="1">
      <alignment horizontal="center" vertical="center" wrapText="1"/>
    </xf>
    <xf numFmtId="0" fontId="2" fillId="3" borderId="9" xfId="0" applyFont="1" applyFill="1" applyBorder="1" applyAlignment="1">
      <alignment vertical="center" wrapText="1"/>
    </xf>
    <xf numFmtId="0" fontId="6" fillId="7" borderId="4" xfId="0" applyFont="1" applyFill="1" applyBorder="1" applyAlignment="1">
      <alignment horizontal="center" vertical="center" wrapText="1"/>
    </xf>
    <xf numFmtId="0" fontId="8" fillId="7" borderId="4" xfId="0" applyFont="1" applyFill="1" applyBorder="1" applyAlignment="1">
      <alignment horizontal="center" vertical="center" wrapText="1"/>
    </xf>
    <xf numFmtId="0" fontId="2" fillId="4" borderId="9" xfId="0" applyFont="1" applyFill="1" applyBorder="1" applyAlignment="1">
      <alignment vertical="center" wrapText="1"/>
    </xf>
    <xf numFmtId="0" fontId="2" fillId="4" borderId="4" xfId="0" applyFont="1" applyFill="1" applyBorder="1" applyAlignment="1">
      <alignment horizontal="center" vertical="center" wrapText="1"/>
    </xf>
    <xf numFmtId="1" fontId="6" fillId="26" borderId="9" xfId="0" applyNumberFormat="1" applyFont="1" applyFill="1" applyBorder="1" applyAlignment="1">
      <alignment horizontal="right" vertical="center"/>
    </xf>
    <xf numFmtId="2" fontId="6" fillId="14" borderId="62" xfId="0" applyNumberFormat="1" applyFont="1" applyFill="1" applyBorder="1" applyAlignment="1">
      <alignment horizontal="right" wrapText="1"/>
    </xf>
    <xf numFmtId="2" fontId="2" fillId="15" borderId="49" xfId="0" applyNumberFormat="1" applyFont="1" applyFill="1" applyBorder="1" applyAlignment="1">
      <alignment horizontal="right" wrapText="1"/>
    </xf>
    <xf numFmtId="0" fontId="2" fillId="30" borderId="20" xfId="0" applyFont="1" applyFill="1" applyBorder="1" applyAlignment="1">
      <alignment horizontal="center" wrapText="1"/>
    </xf>
    <xf numFmtId="2" fontId="0" fillId="19" borderId="50" xfId="0" applyNumberFormat="1" applyFill="1" applyBorder="1" applyAlignment="1">
      <alignment wrapText="1"/>
    </xf>
    <xf numFmtId="0" fontId="2" fillId="19" borderId="64" xfId="0" applyFont="1" applyFill="1" applyBorder="1" applyAlignment="1">
      <alignment wrapText="1"/>
    </xf>
    <xf numFmtId="165" fontId="2" fillId="15" borderId="3" xfId="0" applyNumberFormat="1" applyFont="1" applyFill="1" applyBorder="1" applyAlignment="1">
      <alignment wrapText="1"/>
    </xf>
    <xf numFmtId="2" fontId="0" fillId="14" borderId="24" xfId="0" applyNumberFormat="1" applyFill="1" applyBorder="1" applyAlignment="1">
      <alignment wrapText="1"/>
    </xf>
    <xf numFmtId="2" fontId="0" fillId="14" borderId="1" xfId="0" applyNumberFormat="1" applyFill="1" applyBorder="1" applyAlignment="1">
      <alignment wrapText="1"/>
    </xf>
    <xf numFmtId="2" fontId="0" fillId="14" borderId="5" xfId="0" applyNumberFormat="1" applyFill="1" applyBorder="1" applyAlignment="1">
      <alignment wrapText="1"/>
    </xf>
    <xf numFmtId="2" fontId="0" fillId="29" borderId="54" xfId="0" applyNumberFormat="1" applyFill="1" applyBorder="1" applyAlignment="1">
      <alignment wrapText="1"/>
    </xf>
    <xf numFmtId="2" fontId="0" fillId="11" borderId="50" xfId="0" applyNumberFormat="1" applyFill="1" applyBorder="1" applyAlignment="1">
      <alignment wrapText="1"/>
    </xf>
    <xf numFmtId="2" fontId="0" fillId="11" borderId="1" xfId="0" applyNumberFormat="1" applyFill="1" applyBorder="1" applyAlignment="1">
      <alignment wrapText="1"/>
    </xf>
    <xf numFmtId="2" fontId="6" fillId="14" borderId="71" xfId="0" applyNumberFormat="1" applyFont="1" applyFill="1" applyBorder="1" applyAlignment="1">
      <alignment horizontal="right" wrapText="1"/>
    </xf>
    <xf numFmtId="1" fontId="0" fillId="14" borderId="73" xfId="0" applyNumberFormat="1" applyFill="1" applyBorder="1" applyAlignment="1">
      <alignment wrapText="1"/>
    </xf>
    <xf numFmtId="11" fontId="6" fillId="29" borderId="43" xfId="0" applyNumberFormat="1" applyFont="1" applyFill="1" applyBorder="1" applyAlignment="1">
      <alignment horizontal="center" wrapText="1"/>
    </xf>
    <xf numFmtId="1" fontId="6" fillId="32" borderId="32" xfId="0" applyNumberFormat="1" applyFont="1" applyFill="1" applyBorder="1" applyAlignment="1">
      <alignment horizontal="right" wrapText="1"/>
    </xf>
    <xf numFmtId="1" fontId="6" fillId="32" borderId="33" xfId="0" applyNumberFormat="1" applyFont="1" applyFill="1" applyBorder="1" applyAlignment="1">
      <alignment horizontal="right" wrapText="1"/>
    </xf>
    <xf numFmtId="1" fontId="6" fillId="32" borderId="37" xfId="0" applyNumberFormat="1" applyFont="1" applyFill="1" applyBorder="1" applyAlignment="1">
      <alignment horizontal="right" wrapText="1"/>
    </xf>
    <xf numFmtId="1" fontId="2" fillId="32" borderId="42" xfId="0" applyNumberFormat="1" applyFont="1" applyFill="1" applyBorder="1" applyAlignment="1">
      <alignment horizontal="right" wrapText="1"/>
    </xf>
    <xf numFmtId="1" fontId="6" fillId="32" borderId="44" xfId="0" applyNumberFormat="1" applyFont="1" applyFill="1" applyBorder="1" applyAlignment="1">
      <alignment horizontal="right" wrapText="1"/>
    </xf>
    <xf numFmtId="0" fontId="0" fillId="29" borderId="42" xfId="0" applyFill="1" applyBorder="1" applyAlignment="1">
      <alignment wrapText="1"/>
    </xf>
    <xf numFmtId="0" fontId="0" fillId="32" borderId="38" xfId="0" applyFill="1" applyBorder="1" applyAlignment="1">
      <alignment wrapText="1"/>
    </xf>
    <xf numFmtId="0" fontId="0" fillId="32" borderId="33" xfId="0" applyFill="1" applyBorder="1" applyAlignment="1">
      <alignment wrapText="1"/>
    </xf>
    <xf numFmtId="0" fontId="0" fillId="32" borderId="37" xfId="0" applyFill="1" applyBorder="1" applyAlignment="1">
      <alignment wrapText="1"/>
    </xf>
    <xf numFmtId="0" fontId="0" fillId="32" borderId="72" xfId="0" applyFill="1" applyBorder="1" applyAlignment="1">
      <alignment wrapText="1"/>
    </xf>
    <xf numFmtId="2" fontId="0" fillId="32" borderId="34" xfId="0" applyNumberFormat="1" applyFill="1" applyBorder="1" applyAlignment="1">
      <alignment wrapText="1"/>
    </xf>
    <xf numFmtId="0" fontId="6" fillId="9" borderId="3"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2" fontId="0" fillId="11" borderId="25" xfId="0" applyNumberFormat="1" applyFill="1" applyBorder="1" applyAlignment="1">
      <alignment wrapText="1"/>
    </xf>
    <xf numFmtId="2" fontId="0" fillId="22" borderId="24" xfId="0" applyNumberFormat="1" applyFill="1" applyBorder="1" applyAlignment="1">
      <alignment wrapText="1"/>
    </xf>
    <xf numFmtId="2" fontId="6" fillId="22" borderId="61" xfId="0" applyNumberFormat="1" applyFont="1" applyFill="1" applyBorder="1" applyAlignment="1">
      <alignment horizontal="right" wrapText="1"/>
    </xf>
    <xf numFmtId="167" fontId="6" fillId="22" borderId="61" xfId="0" applyNumberFormat="1" applyFont="1" applyFill="1" applyBorder="1" applyAlignment="1">
      <alignment horizontal="right" wrapText="1"/>
    </xf>
    <xf numFmtId="0" fontId="0" fillId="22" borderId="70" xfId="0" applyFill="1" applyBorder="1" applyAlignment="1">
      <alignment wrapText="1"/>
    </xf>
    <xf numFmtId="0" fontId="2" fillId="13" borderId="21" xfId="0" applyFont="1" applyFill="1" applyBorder="1" applyAlignment="1">
      <alignment horizontal="center" vertical="center" wrapText="1"/>
    </xf>
    <xf numFmtId="0" fontId="2" fillId="11" borderId="21" xfId="0" applyFont="1" applyFill="1" applyBorder="1" applyAlignment="1">
      <alignment horizontal="center" vertical="center" wrapText="1"/>
    </xf>
    <xf numFmtId="0" fontId="11" fillId="33" borderId="0" xfId="0" applyFont="1" applyFill="1" applyAlignment="1">
      <alignment wrapText="1"/>
    </xf>
    <xf numFmtId="0" fontId="0" fillId="7" borderId="0" xfId="0" applyFill="1" applyAlignment="1">
      <alignment horizontal="center" wrapText="1"/>
    </xf>
    <xf numFmtId="1" fontId="0" fillId="34" borderId="1" xfId="0" applyNumberFormat="1" applyFill="1" applyBorder="1" applyAlignment="1">
      <alignment wrapText="1"/>
    </xf>
    <xf numFmtId="11" fontId="0" fillId="30" borderId="21" xfId="0" applyNumberFormat="1" applyFont="1" applyFill="1" applyBorder="1"/>
    <xf numFmtId="1" fontId="0" fillId="22" borderId="0" xfId="0" applyNumberFormat="1" applyFill="1"/>
    <xf numFmtId="2" fontId="8" fillId="22" borderId="9" xfId="0" applyNumberFormat="1" applyFont="1" applyFill="1" applyBorder="1"/>
    <xf numFmtId="0" fontId="2" fillId="9" borderId="4" xfId="0" applyFont="1" applyFill="1" applyBorder="1" applyAlignment="1">
      <alignment horizontal="center" vertical="center" wrapText="1"/>
    </xf>
    <xf numFmtId="165" fontId="0" fillId="14" borderId="51" xfId="0" applyNumberFormat="1" applyFill="1" applyBorder="1" applyAlignment="1">
      <alignment wrapText="1"/>
    </xf>
    <xf numFmtId="165" fontId="0" fillId="14" borderId="21" xfId="0" applyNumberFormat="1" applyFill="1" applyBorder="1" applyAlignment="1">
      <alignment wrapText="1"/>
    </xf>
    <xf numFmtId="0" fontId="0" fillId="18" borderId="16" xfId="0" applyFill="1" applyBorder="1" applyAlignment="1">
      <alignment wrapText="1"/>
    </xf>
    <xf numFmtId="2" fontId="6" fillId="0" borderId="0" xfId="0" applyNumberFormat="1" applyFont="1" applyAlignment="1">
      <alignment wrapText="1"/>
    </xf>
    <xf numFmtId="2" fontId="0" fillId="9" borderId="36" xfId="0" applyNumberFormat="1" applyFill="1" applyBorder="1" applyAlignment="1">
      <alignment wrapText="1"/>
    </xf>
    <xf numFmtId="1" fontId="0" fillId="9" borderId="40" xfId="0" applyNumberFormat="1" applyFill="1" applyBorder="1" applyAlignment="1">
      <alignment wrapText="1"/>
    </xf>
    <xf numFmtId="0" fontId="0" fillId="9" borderId="23" xfId="0" applyFill="1" applyBorder="1" applyAlignment="1">
      <alignment wrapText="1"/>
    </xf>
    <xf numFmtId="0" fontId="0" fillId="9" borderId="45" xfId="0" applyFill="1" applyBorder="1" applyAlignment="1">
      <alignment wrapText="1"/>
    </xf>
    <xf numFmtId="2" fontId="0" fillId="9" borderId="24" xfId="0" applyNumberFormat="1" applyFill="1" applyBorder="1" applyAlignment="1">
      <alignment wrapText="1"/>
    </xf>
    <xf numFmtId="2" fontId="6" fillId="9" borderId="61" xfId="0" applyNumberFormat="1" applyFont="1" applyFill="1" applyBorder="1" applyAlignment="1">
      <alignment horizontal="right" wrapText="1"/>
    </xf>
    <xf numFmtId="1" fontId="0" fillId="9" borderId="36" xfId="0" applyNumberFormat="1" applyFill="1" applyBorder="1" applyAlignment="1">
      <alignment wrapText="1"/>
    </xf>
    <xf numFmtId="0" fontId="0" fillId="9" borderId="21" xfId="0" applyFill="1" applyBorder="1" applyAlignment="1">
      <alignment wrapText="1"/>
    </xf>
    <xf numFmtId="0" fontId="0" fillId="9" borderId="35" xfId="0" applyFill="1" applyBorder="1" applyAlignment="1">
      <alignment wrapText="1"/>
    </xf>
    <xf numFmtId="2" fontId="0" fillId="9" borderId="1" xfId="0" applyNumberFormat="1" applyFill="1" applyBorder="1" applyAlignment="1">
      <alignment wrapText="1"/>
    </xf>
    <xf numFmtId="166" fontId="0" fillId="9" borderId="36" xfId="0" applyNumberFormat="1" applyFill="1" applyBorder="1" applyAlignment="1">
      <alignment wrapText="1"/>
    </xf>
    <xf numFmtId="167" fontId="6" fillId="9" borderId="61" xfId="0" applyNumberFormat="1" applyFont="1" applyFill="1" applyBorder="1" applyAlignment="1">
      <alignment horizontal="right" wrapText="1"/>
    </xf>
    <xf numFmtId="0" fontId="0" fillId="9" borderId="36" xfId="0" applyFill="1" applyBorder="1" applyAlignment="1">
      <alignment wrapText="1"/>
    </xf>
    <xf numFmtId="0" fontId="0" fillId="9" borderId="70" xfId="0" applyFill="1" applyBorder="1" applyAlignment="1">
      <alignment wrapText="1"/>
    </xf>
    <xf numFmtId="2" fontId="0" fillId="9" borderId="2" xfId="0" applyNumberFormat="1" applyFill="1" applyBorder="1" applyAlignment="1">
      <alignment wrapText="1"/>
    </xf>
    <xf numFmtId="2" fontId="0" fillId="9" borderId="40" xfId="0" applyNumberFormat="1" applyFill="1" applyBorder="1" applyAlignment="1">
      <alignment wrapText="1"/>
    </xf>
    <xf numFmtId="0" fontId="0" fillId="9" borderId="33" xfId="0" applyFill="1" applyBorder="1" applyAlignment="1">
      <alignment wrapText="1"/>
    </xf>
    <xf numFmtId="0" fontId="0" fillId="9" borderId="37" xfId="0" applyFill="1" applyBorder="1" applyAlignment="1">
      <alignment wrapText="1"/>
    </xf>
    <xf numFmtId="0" fontId="0" fillId="9" borderId="72" xfId="0" applyFill="1" applyBorder="1" applyAlignment="1">
      <alignment wrapText="1"/>
    </xf>
    <xf numFmtId="2" fontId="0" fillId="9" borderId="34" xfId="0" applyNumberFormat="1" applyFill="1" applyBorder="1" applyAlignment="1">
      <alignment wrapText="1"/>
    </xf>
    <xf numFmtId="0" fontId="0" fillId="9" borderId="26" xfId="0" applyFill="1" applyBorder="1" applyAlignment="1">
      <alignment wrapText="1"/>
    </xf>
    <xf numFmtId="0" fontId="0" fillId="9" borderId="57" xfId="0" applyFill="1" applyBorder="1" applyAlignment="1">
      <alignment wrapText="1"/>
    </xf>
    <xf numFmtId="0" fontId="0" fillId="9" borderId="24" xfId="0" applyFill="1" applyBorder="1" applyAlignment="1">
      <alignment wrapText="1"/>
    </xf>
    <xf numFmtId="0" fontId="0" fillId="9" borderId="58" xfId="0" applyFill="1" applyBorder="1" applyAlignment="1">
      <alignment wrapText="1"/>
    </xf>
    <xf numFmtId="0" fontId="0" fillId="9" borderId="68" xfId="0" applyFill="1" applyBorder="1" applyAlignment="1">
      <alignment wrapText="1"/>
    </xf>
    <xf numFmtId="0" fontId="0" fillId="9" borderId="69" xfId="0" applyFill="1" applyBorder="1" applyAlignment="1">
      <alignment wrapText="1"/>
    </xf>
    <xf numFmtId="2" fontId="0" fillId="9" borderId="6" xfId="0" applyNumberFormat="1" applyFill="1" applyBorder="1" applyAlignment="1">
      <alignment wrapText="1"/>
    </xf>
    <xf numFmtId="2" fontId="0" fillId="9" borderId="64" xfId="0" applyNumberFormat="1" applyFill="1" applyBorder="1" applyAlignment="1">
      <alignment wrapText="1"/>
    </xf>
    <xf numFmtId="0" fontId="0" fillId="9" borderId="71" xfId="0" applyFill="1" applyBorder="1" applyAlignment="1">
      <alignment wrapText="1"/>
    </xf>
    <xf numFmtId="2" fontId="0" fillId="9" borderId="65" xfId="0" applyNumberFormat="1" applyFill="1" applyBorder="1" applyAlignment="1">
      <alignment wrapText="1"/>
    </xf>
    <xf numFmtId="2" fontId="0" fillId="9" borderId="25" xfId="0" applyNumberFormat="1" applyFill="1" applyBorder="1" applyAlignment="1">
      <alignment wrapText="1"/>
    </xf>
    <xf numFmtId="0" fontId="0" fillId="9" borderId="52" xfId="0" applyFill="1" applyBorder="1" applyAlignment="1">
      <alignment wrapText="1"/>
    </xf>
    <xf numFmtId="2" fontId="0" fillId="9" borderId="61" xfId="0" applyNumberFormat="1" applyFill="1" applyBorder="1" applyAlignment="1">
      <alignment wrapText="1"/>
    </xf>
    <xf numFmtId="165" fontId="0" fillId="9" borderId="36" xfId="0" applyNumberFormat="1" applyFill="1" applyBorder="1" applyAlignment="1">
      <alignment wrapText="1"/>
    </xf>
    <xf numFmtId="0" fontId="2" fillId="9" borderId="36" xfId="0" applyFont="1" applyFill="1" applyBorder="1" applyAlignment="1">
      <alignment wrapText="1"/>
    </xf>
    <xf numFmtId="0" fontId="2" fillId="9" borderId="21" xfId="0" applyFont="1" applyFill="1" applyBorder="1" applyAlignment="1">
      <alignment wrapText="1"/>
    </xf>
    <xf numFmtId="0" fontId="2" fillId="9" borderId="35" xfId="0" applyFont="1" applyFill="1" applyBorder="1" applyAlignment="1">
      <alignment wrapText="1"/>
    </xf>
    <xf numFmtId="0" fontId="2" fillId="9" borderId="70" xfId="0" applyFont="1" applyFill="1" applyBorder="1" applyAlignment="1">
      <alignment wrapText="1"/>
    </xf>
    <xf numFmtId="2" fontId="2" fillId="9" borderId="6" xfId="0" applyNumberFormat="1" applyFont="1" applyFill="1" applyBorder="1" applyAlignment="1">
      <alignment wrapText="1"/>
    </xf>
    <xf numFmtId="0" fontId="0" fillId="9" borderId="2" xfId="0" applyFill="1" applyBorder="1" applyAlignment="1">
      <alignment wrapText="1"/>
    </xf>
    <xf numFmtId="0" fontId="0" fillId="9" borderId="38" xfId="0" applyFill="1" applyBorder="1" applyAlignment="1">
      <alignment wrapText="1"/>
    </xf>
    <xf numFmtId="0" fontId="0" fillId="9" borderId="34" xfId="0" applyFill="1" applyBorder="1" applyAlignment="1">
      <alignment wrapText="1"/>
    </xf>
    <xf numFmtId="1" fontId="0" fillId="9" borderId="25" xfId="0" applyNumberFormat="1" applyFill="1" applyBorder="1" applyAlignment="1">
      <alignment wrapText="1"/>
    </xf>
    <xf numFmtId="0" fontId="0" fillId="9" borderId="41" xfId="0" applyFill="1" applyBorder="1" applyAlignment="1">
      <alignment wrapText="1"/>
    </xf>
    <xf numFmtId="0" fontId="0" fillId="9" borderId="22" xfId="0" applyFill="1" applyBorder="1" applyAlignment="1">
      <alignment wrapText="1"/>
    </xf>
    <xf numFmtId="0" fontId="0" fillId="9" borderId="47" xfId="0" applyFill="1" applyBorder="1" applyAlignment="1">
      <alignment wrapText="1"/>
    </xf>
    <xf numFmtId="0" fontId="0" fillId="9" borderId="19" xfId="0" applyFill="1" applyBorder="1" applyAlignment="1">
      <alignment wrapText="1"/>
    </xf>
    <xf numFmtId="1" fontId="2" fillId="9" borderId="8" xfId="0" applyNumberFormat="1" applyFont="1" applyFill="1" applyBorder="1" applyAlignment="1">
      <alignment wrapText="1"/>
    </xf>
    <xf numFmtId="1" fontId="2" fillId="9" borderId="40" xfId="0" applyNumberFormat="1" applyFont="1" applyFill="1" applyBorder="1" applyAlignment="1">
      <alignment wrapText="1"/>
    </xf>
    <xf numFmtId="1" fontId="2" fillId="15" borderId="4" xfId="0" applyNumberFormat="1" applyFont="1" applyFill="1" applyBorder="1" applyAlignment="1">
      <alignment wrapText="1"/>
    </xf>
    <xf numFmtId="2" fontId="2" fillId="15" borderId="4" xfId="0" applyNumberFormat="1" applyFont="1" applyFill="1" applyBorder="1" applyAlignment="1">
      <alignment wrapText="1"/>
    </xf>
    <xf numFmtId="0" fontId="20" fillId="0" borderId="0" xfId="0" applyFont="1" applyFill="1" applyAlignment="1">
      <alignment wrapText="1"/>
    </xf>
    <xf numFmtId="0" fontId="0" fillId="33" borderId="21" xfId="0" applyFill="1" applyBorder="1" applyAlignment="1">
      <alignment horizontal="center" vertical="center" wrapText="1"/>
    </xf>
    <xf numFmtId="0" fontId="0" fillId="0" borderId="21" xfId="0" applyFill="1" applyBorder="1" applyAlignment="1">
      <alignment horizontal="center" vertical="center" wrapText="1"/>
    </xf>
    <xf numFmtId="0" fontId="0" fillId="13" borderId="21" xfId="0" applyFill="1" applyBorder="1" applyAlignment="1">
      <alignment horizontal="center" vertical="center" wrapText="1"/>
    </xf>
    <xf numFmtId="0" fontId="0" fillId="7" borderId="21" xfId="0" applyFill="1" applyBorder="1" applyAlignment="1">
      <alignment horizontal="center" vertical="center" wrapText="1"/>
    </xf>
    <xf numFmtId="0" fontId="0" fillId="28" borderId="21" xfId="0" applyFill="1" applyBorder="1" applyAlignment="1">
      <alignment horizontal="center" vertical="center" wrapText="1"/>
    </xf>
    <xf numFmtId="0" fontId="0" fillId="31" borderId="21" xfId="0" applyFill="1" applyBorder="1" applyAlignment="1">
      <alignment horizontal="center" vertical="center" wrapText="1"/>
    </xf>
    <xf numFmtId="0" fontId="2" fillId="0" borderId="0" xfId="0" applyFont="1" applyFill="1" applyAlignment="1">
      <alignment horizontal="center" vertical="center" wrapText="1"/>
    </xf>
    <xf numFmtId="0" fontId="11" fillId="13" borderId="0" xfId="0" applyFont="1" applyFill="1" applyAlignment="1">
      <alignment wrapText="1"/>
    </xf>
    <xf numFmtId="0" fontId="6" fillId="4" borderId="50" xfId="0" applyFont="1" applyFill="1" applyBorder="1" applyAlignment="1">
      <alignment horizontal="center" wrapText="1"/>
    </xf>
    <xf numFmtId="0" fontId="0" fillId="6" borderId="0" xfId="0" applyFill="1" applyBorder="1" applyAlignment="1">
      <alignment wrapText="1"/>
    </xf>
    <xf numFmtId="0" fontId="6" fillId="29" borderId="5" xfId="0" applyFont="1" applyFill="1" applyBorder="1" applyAlignment="1">
      <alignment wrapText="1"/>
    </xf>
    <xf numFmtId="0" fontId="0" fillId="29" borderId="5" xfId="0" applyFill="1" applyBorder="1" applyAlignment="1">
      <alignment wrapText="1"/>
    </xf>
    <xf numFmtId="0" fontId="6" fillId="29" borderId="23" xfId="0" applyFont="1" applyFill="1" applyBorder="1" applyAlignment="1">
      <alignment wrapText="1"/>
    </xf>
    <xf numFmtId="165" fontId="0" fillId="11" borderId="5" xfId="0" applyNumberFormat="1" applyFill="1" applyBorder="1" applyAlignment="1">
      <alignment wrapText="1"/>
    </xf>
    <xf numFmtId="0" fontId="0" fillId="11" borderId="25" xfId="0" applyFill="1" applyBorder="1" applyAlignment="1">
      <alignment horizontal="right" vertical="center" wrapText="1"/>
    </xf>
    <xf numFmtId="0" fontId="0" fillId="35" borderId="0" xfId="0" applyFill="1" applyAlignment="1">
      <alignment wrapText="1"/>
    </xf>
    <xf numFmtId="0" fontId="0" fillId="0" borderId="0" xfId="0" applyFill="1" applyBorder="1" applyAlignment="1">
      <alignment vertical="center" wrapText="1"/>
    </xf>
    <xf numFmtId="1" fontId="0" fillId="32" borderId="1" xfId="0" applyNumberFormat="1" applyFill="1" applyBorder="1" applyAlignment="1">
      <alignment wrapText="1"/>
    </xf>
    <xf numFmtId="0" fontId="0" fillId="17" borderId="4" xfId="0" applyFill="1" applyBorder="1" applyAlignment="1">
      <alignment wrapText="1"/>
    </xf>
    <xf numFmtId="0" fontId="6" fillId="4" borderId="50" xfId="0" applyFont="1" applyFill="1" applyBorder="1" applyAlignment="1">
      <alignment horizontal="center" wrapText="1"/>
    </xf>
    <xf numFmtId="1" fontId="2" fillId="29" borderId="3" xfId="0" applyNumberFormat="1" applyFont="1" applyFill="1" applyBorder="1" applyAlignment="1">
      <alignment horizontal="right" wrapText="1"/>
    </xf>
    <xf numFmtId="2" fontId="6" fillId="29" borderId="61" xfId="0" applyNumberFormat="1" applyFont="1" applyFill="1" applyBorder="1" applyAlignment="1">
      <alignment horizontal="right" wrapText="1"/>
    </xf>
    <xf numFmtId="11" fontId="6" fillId="29" borderId="3" xfId="0" applyNumberFormat="1" applyFont="1" applyFill="1" applyBorder="1" applyAlignment="1">
      <alignment wrapText="1"/>
    </xf>
    <xf numFmtId="1" fontId="0" fillId="29" borderId="40" xfId="0" applyNumberFormat="1" applyFill="1" applyBorder="1" applyAlignment="1">
      <alignment wrapText="1"/>
    </xf>
    <xf numFmtId="0" fontId="0" fillId="29" borderId="23" xfId="0" applyFill="1" applyBorder="1" applyAlignment="1">
      <alignment wrapText="1"/>
    </xf>
    <xf numFmtId="0" fontId="0" fillId="29" borderId="45" xfId="0" applyFill="1" applyBorder="1" applyAlignment="1">
      <alignment wrapText="1"/>
    </xf>
    <xf numFmtId="1" fontId="2" fillId="15" borderId="49" xfId="0" applyNumberFormat="1" applyFont="1" applyFill="1" applyBorder="1" applyAlignment="1">
      <alignment vertical="center" wrapText="1"/>
    </xf>
    <xf numFmtId="2" fontId="0" fillId="11" borderId="24" xfId="0" applyNumberFormat="1" applyFill="1" applyBorder="1" applyAlignment="1">
      <alignment vertical="center" wrapText="1"/>
    </xf>
    <xf numFmtId="2" fontId="0" fillId="11" borderId="39" xfId="0" applyNumberFormat="1" applyFill="1" applyBorder="1" applyAlignment="1">
      <alignment vertical="center" wrapText="1"/>
    </xf>
    <xf numFmtId="11" fontId="0" fillId="30" borderId="4" xfId="0" applyNumberFormat="1" applyFill="1" applyBorder="1" applyAlignment="1">
      <alignment vertical="center" wrapText="1"/>
    </xf>
    <xf numFmtId="1" fontId="0" fillId="11" borderId="40" xfId="0" applyNumberFormat="1" applyFill="1" applyBorder="1" applyAlignment="1">
      <alignment vertical="center" wrapText="1"/>
    </xf>
    <xf numFmtId="2" fontId="0" fillId="11" borderId="40" xfId="0" applyNumberFormat="1" applyFill="1" applyBorder="1" applyAlignment="1">
      <alignment wrapText="1"/>
    </xf>
    <xf numFmtId="2" fontId="0" fillId="11" borderId="5" xfId="0" applyNumberFormat="1" applyFill="1" applyBorder="1" applyAlignment="1">
      <alignment vertical="center" wrapText="1"/>
    </xf>
    <xf numFmtId="2" fontId="0" fillId="11" borderId="61" xfId="0" applyNumberFormat="1" applyFill="1" applyBorder="1" applyAlignment="1">
      <alignment vertical="center" wrapText="1"/>
    </xf>
    <xf numFmtId="2" fontId="0" fillId="11" borderId="74" xfId="0" applyNumberFormat="1" applyFill="1" applyBorder="1" applyAlignment="1">
      <alignment vertical="center" wrapText="1"/>
    </xf>
    <xf numFmtId="11" fontId="6" fillId="8" borderId="10" xfId="0" applyNumberFormat="1" applyFont="1" applyFill="1" applyBorder="1" applyAlignment="1">
      <alignment horizontal="center" vertical="center" wrapText="1"/>
    </xf>
    <xf numFmtId="1" fontId="6" fillId="11" borderId="5" xfId="0" applyNumberFormat="1" applyFont="1" applyFill="1" applyBorder="1" applyAlignment="1">
      <alignment horizontal="right" vertical="center" wrapText="1"/>
    </xf>
    <xf numFmtId="1" fontId="6" fillId="11" borderId="23" xfId="0" applyNumberFormat="1" applyFont="1" applyFill="1" applyBorder="1" applyAlignment="1">
      <alignment horizontal="right" vertical="center" wrapText="1"/>
    </xf>
    <xf numFmtId="1" fontId="6" fillId="11" borderId="68" xfId="0" applyNumberFormat="1" applyFont="1" applyFill="1" applyBorder="1" applyAlignment="1">
      <alignment horizontal="right" vertical="center" wrapText="1"/>
    </xf>
    <xf numFmtId="1" fontId="2" fillId="15" borderId="49" xfId="0" applyNumberFormat="1" applyFont="1" applyFill="1" applyBorder="1" applyAlignment="1">
      <alignment horizontal="right" vertical="center" wrapText="1"/>
    </xf>
    <xf numFmtId="0" fontId="0" fillId="0" borderId="0" xfId="0" applyAlignment="1">
      <alignment vertical="center"/>
    </xf>
    <xf numFmtId="11" fontId="6" fillId="16" borderId="3" xfId="0" applyNumberFormat="1" applyFont="1" applyFill="1" applyBorder="1" applyAlignment="1">
      <alignment vertical="center" wrapText="1"/>
    </xf>
    <xf numFmtId="1" fontId="6" fillId="29" borderId="45" xfId="0" applyNumberFormat="1" applyFont="1" applyFill="1" applyBorder="1" applyAlignment="1">
      <alignment horizontal="right" wrapText="1"/>
    </xf>
    <xf numFmtId="1" fontId="6" fillId="29" borderId="23" xfId="0" applyNumberFormat="1" applyFont="1" applyFill="1" applyBorder="1" applyAlignment="1">
      <alignment horizontal="right" wrapText="1"/>
    </xf>
    <xf numFmtId="1" fontId="6" fillId="29" borderId="5" xfId="0" applyNumberFormat="1" applyFont="1" applyFill="1" applyBorder="1" applyAlignment="1">
      <alignment horizontal="right" wrapText="1"/>
    </xf>
    <xf numFmtId="2" fontId="0" fillId="29" borderId="24" xfId="0" applyNumberFormat="1" applyFill="1" applyBorder="1" applyAlignment="1">
      <alignment wrapText="1"/>
    </xf>
    <xf numFmtId="2" fontId="0" fillId="29" borderId="39" xfId="0" applyNumberFormat="1" applyFill="1" applyBorder="1" applyAlignment="1">
      <alignment vertical="center" wrapText="1"/>
    </xf>
    <xf numFmtId="2" fontId="0" fillId="29" borderId="40" xfId="0" applyNumberFormat="1" applyFill="1" applyBorder="1" applyAlignment="1">
      <alignment wrapText="1"/>
    </xf>
    <xf numFmtId="0" fontId="0" fillId="18" borderId="36" xfId="0" applyFill="1" applyBorder="1" applyAlignment="1">
      <alignment wrapText="1"/>
    </xf>
    <xf numFmtId="0" fontId="0" fillId="18" borderId="21" xfId="0" applyFill="1" applyBorder="1" applyAlignment="1">
      <alignment wrapText="1"/>
    </xf>
    <xf numFmtId="0" fontId="0" fillId="18" borderId="35" xfId="0" applyFill="1" applyBorder="1" applyAlignment="1">
      <alignment wrapText="1"/>
    </xf>
    <xf numFmtId="2" fontId="0" fillId="18" borderId="3" xfId="0" applyNumberFormat="1" applyFill="1" applyBorder="1" applyAlignment="1">
      <alignment wrapText="1"/>
    </xf>
    <xf numFmtId="0" fontId="0" fillId="18" borderId="70" xfId="0" applyFill="1" applyBorder="1" applyAlignment="1">
      <alignment wrapText="1"/>
    </xf>
    <xf numFmtId="2" fontId="0" fillId="18" borderId="2" xfId="0" applyNumberFormat="1" applyFill="1" applyBorder="1" applyAlignment="1">
      <alignment wrapText="1"/>
    </xf>
    <xf numFmtId="2" fontId="0" fillId="18" borderId="40" xfId="0" applyNumberFormat="1" applyFill="1" applyBorder="1" applyAlignment="1">
      <alignment wrapText="1"/>
    </xf>
    <xf numFmtId="2" fontId="0" fillId="32" borderId="4" xfId="0" applyNumberFormat="1" applyFill="1" applyBorder="1" applyAlignment="1">
      <alignment wrapText="1"/>
    </xf>
    <xf numFmtId="0" fontId="6" fillId="4" borderId="2" xfId="0" applyFont="1" applyFill="1" applyBorder="1" applyAlignment="1">
      <alignment horizontal="center" wrapText="1"/>
    </xf>
    <xf numFmtId="2" fontId="0" fillId="32" borderId="2" xfId="0" applyNumberFormat="1" applyFill="1" applyBorder="1" applyAlignment="1">
      <alignment wrapText="1"/>
    </xf>
    <xf numFmtId="0" fontId="0" fillId="9" borderId="1" xfId="0" applyFill="1" applyBorder="1" applyAlignment="1">
      <alignment wrapText="1"/>
    </xf>
    <xf numFmtId="165" fontId="0" fillId="29" borderId="40" xfId="0" applyNumberFormat="1" applyFill="1" applyBorder="1" applyAlignment="1">
      <alignment wrapText="1"/>
    </xf>
    <xf numFmtId="0" fontId="0" fillId="18" borderId="40" xfId="0" applyFill="1" applyBorder="1" applyAlignment="1">
      <alignment wrapText="1"/>
    </xf>
    <xf numFmtId="0" fontId="0" fillId="18" borderId="23" xfId="0" applyFill="1" applyBorder="1" applyAlignment="1">
      <alignment wrapText="1"/>
    </xf>
    <xf numFmtId="0" fontId="0" fillId="18" borderId="45" xfId="0" applyFill="1" applyBorder="1" applyAlignment="1">
      <alignment wrapText="1"/>
    </xf>
    <xf numFmtId="0" fontId="0" fillId="18" borderId="69" xfId="0" applyFill="1" applyBorder="1" applyAlignment="1">
      <alignment wrapText="1"/>
    </xf>
    <xf numFmtId="0" fontId="0" fillId="18" borderId="6" xfId="0" applyFill="1" applyBorder="1" applyAlignment="1">
      <alignment wrapText="1"/>
    </xf>
    <xf numFmtId="2" fontId="11" fillId="29" borderId="40" xfId="0" applyNumberFormat="1" applyFont="1" applyFill="1" applyBorder="1" applyAlignment="1">
      <alignment wrapText="1"/>
    </xf>
    <xf numFmtId="0" fontId="0" fillId="29" borderId="69" xfId="0" applyFill="1" applyBorder="1" applyAlignment="1">
      <alignment wrapText="1"/>
    </xf>
    <xf numFmtId="2" fontId="0" fillId="29" borderId="64" xfId="0" applyNumberFormat="1" applyFill="1" applyBorder="1" applyAlignment="1">
      <alignment wrapText="1"/>
    </xf>
    <xf numFmtId="0" fontId="2" fillId="4" borderId="16" xfId="0" applyFont="1" applyFill="1" applyBorder="1" applyAlignment="1">
      <alignment vertical="center" wrapText="1"/>
    </xf>
    <xf numFmtId="0" fontId="2" fillId="4" borderId="48" xfId="0" applyFont="1" applyFill="1" applyBorder="1" applyAlignment="1">
      <alignment vertical="center" wrapText="1"/>
    </xf>
    <xf numFmtId="0" fontId="2" fillId="4" borderId="73" xfId="0" applyFont="1" applyFill="1" applyBorder="1" applyAlignment="1">
      <alignment vertical="center" wrapText="1"/>
    </xf>
    <xf numFmtId="0" fontId="0" fillId="0" borderId="48" xfId="0" applyFill="1" applyBorder="1"/>
    <xf numFmtId="0" fontId="11" fillId="0" borderId="0" xfId="0" applyFont="1" applyFill="1"/>
    <xf numFmtId="1" fontId="0" fillId="37" borderId="1" xfId="0" applyNumberFormat="1" applyFill="1" applyBorder="1" applyAlignment="1">
      <alignment wrapText="1"/>
    </xf>
    <xf numFmtId="0" fontId="6" fillId="4" borderId="3" xfId="0" applyFont="1" applyFill="1" applyBorder="1" applyAlignment="1">
      <alignment horizontal="center" wrapText="1"/>
    </xf>
    <xf numFmtId="0" fontId="6" fillId="4" borderId="49" xfId="0" applyFont="1" applyFill="1" applyBorder="1" applyAlignment="1">
      <alignment horizontal="center" vertical="center" wrapText="1"/>
    </xf>
    <xf numFmtId="0" fontId="6" fillId="4" borderId="56" xfId="0" applyFont="1" applyFill="1" applyBorder="1" applyAlignment="1">
      <alignment horizontal="center" vertical="center" wrapText="1"/>
    </xf>
    <xf numFmtId="1" fontId="0" fillId="36" borderId="32" xfId="0" applyNumberFormat="1" applyFill="1" applyBorder="1" applyAlignment="1">
      <alignment wrapText="1"/>
    </xf>
    <xf numFmtId="0" fontId="6" fillId="22" borderId="33" xfId="0" applyFont="1" applyFill="1" applyBorder="1" applyAlignment="1">
      <alignment wrapText="1"/>
    </xf>
    <xf numFmtId="1" fontId="0" fillId="34" borderId="24" xfId="0" applyNumberFormat="1" applyFill="1" applyBorder="1" applyAlignment="1">
      <alignment wrapText="1"/>
    </xf>
    <xf numFmtId="0" fontId="6" fillId="22" borderId="74" xfId="0" applyFont="1" applyFill="1" applyBorder="1" applyAlignment="1">
      <alignment wrapText="1"/>
    </xf>
    <xf numFmtId="0" fontId="6" fillId="22" borderId="2" xfId="0" applyFont="1" applyFill="1" applyBorder="1" applyAlignment="1">
      <alignment wrapText="1"/>
    </xf>
    <xf numFmtId="1" fontId="0" fillId="34" borderId="25" xfId="0" applyNumberFormat="1" applyFill="1" applyBorder="1" applyAlignment="1">
      <alignment wrapText="1"/>
    </xf>
    <xf numFmtId="0" fontId="6" fillId="22" borderId="65" xfId="0" applyFont="1" applyFill="1" applyBorder="1" applyAlignment="1">
      <alignment wrapText="1"/>
    </xf>
    <xf numFmtId="1" fontId="0" fillId="22" borderId="32" xfId="0" applyNumberFormat="1" applyFill="1" applyBorder="1" applyAlignment="1">
      <alignment wrapText="1"/>
    </xf>
    <xf numFmtId="0" fontId="0" fillId="32" borderId="5" xfId="0" applyFill="1" applyBorder="1" applyAlignment="1">
      <alignment wrapText="1"/>
    </xf>
    <xf numFmtId="1" fontId="0" fillId="32" borderId="24" xfId="0" applyNumberFormat="1" applyFill="1" applyBorder="1" applyAlignment="1">
      <alignment wrapText="1"/>
    </xf>
    <xf numFmtId="0" fontId="6" fillId="32" borderId="74" xfId="0" applyFont="1" applyFill="1" applyBorder="1" applyAlignment="1">
      <alignment wrapText="1"/>
    </xf>
    <xf numFmtId="0" fontId="6" fillId="32" borderId="2" xfId="0" applyFont="1" applyFill="1" applyBorder="1" applyAlignment="1">
      <alignment wrapText="1"/>
    </xf>
    <xf numFmtId="1" fontId="0" fillId="32" borderId="25" xfId="0" applyNumberFormat="1" applyFill="1" applyBorder="1" applyAlignment="1">
      <alignment wrapText="1"/>
    </xf>
    <xf numFmtId="0" fontId="6" fillId="32" borderId="65" xfId="0" applyFont="1" applyFill="1" applyBorder="1" applyAlignment="1">
      <alignment wrapText="1"/>
    </xf>
    <xf numFmtId="1" fontId="6" fillId="10" borderId="32" xfId="0" applyNumberFormat="1" applyFont="1" applyFill="1" applyBorder="1" applyAlignment="1">
      <alignment wrapText="1"/>
    </xf>
    <xf numFmtId="1" fontId="6" fillId="5" borderId="32" xfId="0" applyNumberFormat="1" applyFont="1" applyFill="1" applyBorder="1" applyAlignment="1">
      <alignment wrapText="1"/>
    </xf>
    <xf numFmtId="1" fontId="6" fillId="32" borderId="5" xfId="0" applyNumberFormat="1" applyFont="1" applyFill="1" applyBorder="1" applyAlignment="1">
      <alignment wrapText="1"/>
    </xf>
    <xf numFmtId="1" fontId="6" fillId="32" borderId="24" xfId="0" applyNumberFormat="1" applyFont="1" applyFill="1" applyBorder="1" applyAlignment="1">
      <alignment wrapText="1"/>
    </xf>
    <xf numFmtId="1" fontId="6" fillId="32" borderId="49" xfId="0" applyNumberFormat="1" applyFont="1" applyFill="1" applyBorder="1" applyAlignment="1">
      <alignment wrapText="1"/>
    </xf>
    <xf numFmtId="1" fontId="6" fillId="32" borderId="4" xfId="0" applyNumberFormat="1" applyFont="1" applyFill="1" applyBorder="1" applyAlignment="1">
      <alignment wrapText="1"/>
    </xf>
    <xf numFmtId="1" fontId="6" fillId="32" borderId="25" xfId="0" applyNumberFormat="1" applyFont="1" applyFill="1" applyBorder="1" applyAlignment="1">
      <alignment wrapText="1"/>
    </xf>
    <xf numFmtId="1" fontId="6" fillId="32" borderId="56" xfId="0" applyNumberFormat="1" applyFont="1" applyFill="1" applyBorder="1" applyAlignment="1">
      <alignment wrapText="1"/>
    </xf>
    <xf numFmtId="0" fontId="6" fillId="4" borderId="49" xfId="0" applyFont="1" applyFill="1" applyBorder="1" applyAlignment="1">
      <alignment horizontal="center" wrapText="1"/>
    </xf>
    <xf numFmtId="0" fontId="6" fillId="4" borderId="56" xfId="0" applyFont="1" applyFill="1" applyBorder="1" applyAlignment="1">
      <alignment horizontal="center" wrapText="1"/>
    </xf>
    <xf numFmtId="0" fontId="0" fillId="32" borderId="24" xfId="0" applyFill="1" applyBorder="1" applyAlignment="1">
      <alignment wrapText="1"/>
    </xf>
    <xf numFmtId="0" fontId="0" fillId="32" borderId="25" xfId="0" applyFill="1" applyBorder="1" applyAlignment="1">
      <alignment wrapText="1"/>
    </xf>
    <xf numFmtId="0" fontId="0" fillId="32" borderId="32" xfId="0" applyFill="1" applyBorder="1" applyAlignment="1">
      <alignment wrapText="1"/>
    </xf>
    <xf numFmtId="0" fontId="0" fillId="32" borderId="53" xfId="0" applyFill="1" applyBorder="1" applyAlignment="1">
      <alignment wrapText="1"/>
    </xf>
    <xf numFmtId="0" fontId="11" fillId="32" borderId="46" xfId="0" applyFont="1" applyFill="1" applyBorder="1" applyAlignment="1">
      <alignment wrapText="1"/>
    </xf>
    <xf numFmtId="1" fontId="0" fillId="22" borderId="24" xfId="0" applyNumberFormat="1" applyFill="1" applyBorder="1" applyAlignment="1">
      <alignment wrapText="1"/>
    </xf>
    <xf numFmtId="1" fontId="0" fillId="22" borderId="25" xfId="0" applyNumberFormat="1" applyFill="1" applyBorder="1" applyAlignment="1">
      <alignment wrapText="1"/>
    </xf>
    <xf numFmtId="0" fontId="6" fillId="32" borderId="34" xfId="0" applyFont="1" applyFill="1" applyBorder="1" applyAlignment="1">
      <alignment wrapText="1"/>
    </xf>
    <xf numFmtId="0" fontId="6" fillId="32" borderId="6" xfId="0" applyFont="1" applyFill="1" applyBorder="1" applyAlignment="1">
      <alignment wrapText="1"/>
    </xf>
    <xf numFmtId="0" fontId="0" fillId="22" borderId="7" xfId="0" applyFill="1" applyBorder="1" applyAlignment="1">
      <alignment wrapText="1"/>
    </xf>
    <xf numFmtId="0" fontId="6" fillId="22" borderId="8" xfId="0" applyFont="1" applyFill="1" applyBorder="1" applyAlignment="1">
      <alignment wrapText="1"/>
    </xf>
    <xf numFmtId="1" fontId="6" fillId="10" borderId="7" xfId="0" applyNumberFormat="1" applyFont="1" applyFill="1" applyBorder="1" applyAlignment="1">
      <alignment wrapText="1"/>
    </xf>
    <xf numFmtId="1" fontId="6" fillId="5" borderId="9" xfId="0" applyNumberFormat="1" applyFont="1" applyFill="1" applyBorder="1" applyAlignment="1">
      <alignment wrapText="1"/>
    </xf>
    <xf numFmtId="1" fontId="6" fillId="32" borderId="32" xfId="0" applyNumberFormat="1" applyFont="1" applyFill="1" applyBorder="1" applyAlignment="1">
      <alignment wrapText="1"/>
    </xf>
    <xf numFmtId="0" fontId="0" fillId="32" borderId="7" xfId="0" applyFill="1" applyBorder="1" applyAlignment="1">
      <alignment wrapText="1"/>
    </xf>
    <xf numFmtId="0" fontId="6" fillId="32" borderId="8" xfId="0" applyFont="1" applyFill="1" applyBorder="1" applyAlignment="1">
      <alignment wrapText="1"/>
    </xf>
    <xf numFmtId="0" fontId="0" fillId="17" borderId="5" xfId="0" applyFill="1" applyBorder="1" applyAlignment="1">
      <alignment wrapText="1"/>
    </xf>
    <xf numFmtId="0" fontId="0" fillId="17" borderId="23" xfId="0" applyFill="1" applyBorder="1" applyAlignment="1">
      <alignment wrapText="1"/>
    </xf>
    <xf numFmtId="165" fontId="0" fillId="22" borderId="7" xfId="0" applyNumberFormat="1" applyFill="1" applyBorder="1" applyAlignment="1">
      <alignment wrapText="1"/>
    </xf>
    <xf numFmtId="1" fontId="6" fillId="22" borderId="32" xfId="0" applyNumberFormat="1" applyFont="1" applyFill="1" applyBorder="1" applyAlignment="1">
      <alignment horizontal="right" wrapText="1"/>
    </xf>
    <xf numFmtId="1" fontId="6" fillId="22" borderId="33" xfId="0" applyNumberFormat="1" applyFont="1" applyFill="1" applyBorder="1" applyAlignment="1">
      <alignment horizontal="right" wrapText="1"/>
    </xf>
    <xf numFmtId="1" fontId="6" fillId="22" borderId="37" xfId="0" applyNumberFormat="1" applyFont="1" applyFill="1" applyBorder="1" applyAlignment="1">
      <alignment horizontal="right" wrapText="1"/>
    </xf>
    <xf numFmtId="1" fontId="6" fillId="32" borderId="5" xfId="0" applyNumberFormat="1" applyFont="1" applyFill="1" applyBorder="1" applyAlignment="1">
      <alignment horizontal="right" wrapText="1"/>
    </xf>
    <xf numFmtId="1" fontId="6" fillId="32" borderId="23" xfId="0" applyNumberFormat="1" applyFont="1" applyFill="1" applyBorder="1" applyAlignment="1">
      <alignment horizontal="right" wrapText="1"/>
    </xf>
    <xf numFmtId="1" fontId="6" fillId="32" borderId="45" xfId="0" applyNumberFormat="1" applyFont="1" applyFill="1" applyBorder="1" applyAlignment="1">
      <alignment horizontal="right" wrapText="1"/>
    </xf>
    <xf numFmtId="1" fontId="2" fillId="32" borderId="3" xfId="0" applyNumberFormat="1" applyFont="1" applyFill="1" applyBorder="1" applyAlignment="1">
      <alignment horizontal="right" wrapText="1"/>
    </xf>
    <xf numFmtId="1" fontId="6" fillId="32" borderId="61" xfId="0" applyNumberFormat="1" applyFont="1" applyFill="1" applyBorder="1" applyAlignment="1">
      <alignment horizontal="right" wrapText="1"/>
    </xf>
    <xf numFmtId="11" fontId="6" fillId="29" borderId="67" xfId="0" applyNumberFormat="1" applyFont="1" applyFill="1" applyBorder="1" applyAlignment="1">
      <alignment horizontal="center" wrapText="1"/>
    </xf>
    <xf numFmtId="11" fontId="0" fillId="30" borderId="49" xfId="0" applyNumberFormat="1" applyFill="1" applyBorder="1" applyAlignment="1">
      <alignment wrapText="1"/>
    </xf>
    <xf numFmtId="1" fontId="6" fillId="32" borderId="24" xfId="0" applyNumberFormat="1" applyFont="1" applyFill="1" applyBorder="1" applyAlignment="1">
      <alignment horizontal="right" wrapText="1"/>
    </xf>
    <xf numFmtId="1" fontId="6" fillId="32" borderId="58" xfId="0" applyNumberFormat="1" applyFont="1" applyFill="1" applyBorder="1" applyAlignment="1">
      <alignment horizontal="right" wrapText="1"/>
    </xf>
    <xf numFmtId="1" fontId="6" fillId="32" borderId="68" xfId="0" applyNumberFormat="1" applyFont="1" applyFill="1" applyBorder="1" applyAlignment="1">
      <alignment horizontal="right" wrapText="1"/>
    </xf>
    <xf numFmtId="1" fontId="2" fillId="32" borderId="49" xfId="0" applyNumberFormat="1" applyFont="1" applyFill="1" applyBorder="1" applyAlignment="1">
      <alignment horizontal="right" wrapText="1"/>
    </xf>
    <xf numFmtId="1" fontId="6" fillId="32" borderId="39" xfId="0" applyNumberFormat="1" applyFont="1" applyFill="1" applyBorder="1" applyAlignment="1">
      <alignment horizontal="right" wrapText="1"/>
    </xf>
    <xf numFmtId="11" fontId="6" fillId="29" borderId="66" xfId="0" applyNumberFormat="1" applyFont="1" applyFill="1" applyBorder="1" applyAlignment="1">
      <alignment horizontal="center" wrapText="1"/>
    </xf>
    <xf numFmtId="1" fontId="6" fillId="32" borderId="25" xfId="0" applyNumberFormat="1" applyFont="1" applyFill="1" applyBorder="1" applyAlignment="1">
      <alignment horizontal="right" wrapText="1"/>
    </xf>
    <xf numFmtId="1" fontId="6" fillId="32" borderId="26" xfId="0" applyNumberFormat="1" applyFont="1" applyFill="1" applyBorder="1" applyAlignment="1">
      <alignment horizontal="right" wrapText="1"/>
    </xf>
    <xf numFmtId="1" fontId="6" fillId="32" borderId="57" xfId="0" applyNumberFormat="1" applyFont="1" applyFill="1" applyBorder="1" applyAlignment="1">
      <alignment horizontal="right" wrapText="1"/>
    </xf>
    <xf numFmtId="1" fontId="2" fillId="32" borderId="56" xfId="0" applyNumberFormat="1" applyFont="1" applyFill="1" applyBorder="1" applyAlignment="1">
      <alignment horizontal="right" wrapText="1"/>
    </xf>
    <xf numFmtId="1" fontId="6" fillId="32" borderId="62" xfId="0" applyNumberFormat="1" applyFont="1" applyFill="1" applyBorder="1" applyAlignment="1">
      <alignment horizontal="right" wrapText="1"/>
    </xf>
    <xf numFmtId="1" fontId="6" fillId="22" borderId="24" xfId="0" applyNumberFormat="1" applyFont="1" applyFill="1" applyBorder="1" applyAlignment="1">
      <alignment horizontal="right" wrapText="1"/>
    </xf>
    <xf numFmtId="1" fontId="6" fillId="22" borderId="39" xfId="0" applyNumberFormat="1" applyFont="1" applyFill="1" applyBorder="1" applyAlignment="1">
      <alignment horizontal="right" wrapText="1"/>
    </xf>
    <xf numFmtId="1" fontId="6" fillId="32" borderId="4" xfId="0" applyNumberFormat="1" applyFont="1" applyFill="1" applyBorder="1" applyAlignment="1">
      <alignment horizontal="right" wrapText="1"/>
    </xf>
    <xf numFmtId="1" fontId="6" fillId="32" borderId="56" xfId="0" applyNumberFormat="1" applyFont="1" applyFill="1" applyBorder="1" applyAlignment="1">
      <alignment horizontal="right" wrapText="1"/>
    </xf>
    <xf numFmtId="11" fontId="0" fillId="29" borderId="3" xfId="0" applyNumberFormat="1" applyFill="1" applyBorder="1" applyAlignment="1">
      <alignment wrapText="1"/>
    </xf>
    <xf numFmtId="1" fontId="0" fillId="32" borderId="40" xfId="0" applyNumberFormat="1" applyFill="1" applyBorder="1" applyAlignment="1">
      <alignment wrapText="1"/>
    </xf>
    <xf numFmtId="0" fontId="0" fillId="32" borderId="23" xfId="0" applyFill="1" applyBorder="1" applyAlignment="1">
      <alignment wrapText="1"/>
    </xf>
    <xf numFmtId="0" fontId="0" fillId="32" borderId="45" xfId="0" applyFill="1" applyBorder="1" applyAlignment="1">
      <alignment wrapText="1"/>
    </xf>
    <xf numFmtId="2" fontId="0" fillId="32" borderId="69" xfId="0" applyNumberFormat="1" applyFill="1" applyBorder="1" applyAlignment="1">
      <alignment wrapText="1"/>
    </xf>
    <xf numFmtId="1" fontId="0" fillId="32" borderId="6" xfId="0" applyNumberFormat="1" applyFill="1" applyBorder="1" applyAlignment="1">
      <alignment wrapText="1"/>
    </xf>
    <xf numFmtId="11" fontId="0" fillId="16" borderId="49" xfId="0" applyNumberFormat="1" applyFill="1" applyBorder="1" applyAlignment="1">
      <alignment wrapText="1"/>
    </xf>
    <xf numFmtId="1" fontId="0" fillId="22" borderId="52" xfId="0" applyNumberFormat="1" applyFill="1" applyBorder="1" applyAlignment="1">
      <alignment wrapText="1"/>
    </xf>
    <xf numFmtId="0" fontId="0" fillId="22" borderId="58" xfId="0" applyFill="1" applyBorder="1" applyAlignment="1">
      <alignment wrapText="1"/>
    </xf>
    <xf numFmtId="0" fontId="0" fillId="22" borderId="68" xfId="0" applyFill="1" applyBorder="1" applyAlignment="1">
      <alignment wrapText="1"/>
    </xf>
    <xf numFmtId="2" fontId="0" fillId="22" borderId="75" xfId="0" applyNumberFormat="1" applyFill="1" applyBorder="1" applyAlignment="1">
      <alignment wrapText="1"/>
    </xf>
    <xf numFmtId="1" fontId="0" fillId="22" borderId="74" xfId="0" applyNumberFormat="1" applyFill="1" applyBorder="1" applyAlignment="1">
      <alignment wrapText="1"/>
    </xf>
    <xf numFmtId="11" fontId="0" fillId="29" borderId="56" xfId="0" applyNumberFormat="1" applyFill="1" applyBorder="1" applyAlignment="1">
      <alignment wrapText="1"/>
    </xf>
    <xf numFmtId="1" fontId="0" fillId="32" borderId="64" xfId="0" applyNumberFormat="1" applyFill="1" applyBorder="1" applyAlignment="1">
      <alignment wrapText="1"/>
    </xf>
    <xf numFmtId="0" fontId="0" fillId="32" borderId="26" xfId="0" applyFill="1" applyBorder="1" applyAlignment="1">
      <alignment wrapText="1"/>
    </xf>
    <xf numFmtId="0" fontId="0" fillId="32" borderId="57" xfId="0" applyFill="1" applyBorder="1" applyAlignment="1">
      <alignment wrapText="1"/>
    </xf>
    <xf numFmtId="1" fontId="2" fillId="32" borderId="15" xfId="0" applyNumberFormat="1" applyFont="1" applyFill="1" applyBorder="1" applyAlignment="1">
      <alignment wrapText="1"/>
    </xf>
    <xf numFmtId="2" fontId="0" fillId="32" borderId="71" xfId="0" applyNumberFormat="1" applyFill="1" applyBorder="1" applyAlignment="1">
      <alignment wrapText="1"/>
    </xf>
    <xf numFmtId="1" fontId="0" fillId="32" borderId="65" xfId="0" applyNumberFormat="1" applyFill="1" applyBorder="1" applyAlignment="1">
      <alignment wrapText="1"/>
    </xf>
    <xf numFmtId="1" fontId="0" fillId="32" borderId="50" xfId="0" applyNumberFormat="1" applyFill="1" applyBorder="1" applyAlignment="1">
      <alignment wrapText="1"/>
    </xf>
    <xf numFmtId="1" fontId="0" fillId="32" borderId="62" xfId="0" applyNumberFormat="1" applyFill="1" applyBorder="1" applyAlignment="1">
      <alignment wrapText="1"/>
    </xf>
    <xf numFmtId="11" fontId="0" fillId="29" borderId="49" xfId="0" applyNumberFormat="1" applyFill="1" applyBorder="1" applyAlignment="1">
      <alignment wrapText="1"/>
    </xf>
    <xf numFmtId="1" fontId="0" fillId="32" borderId="52" xfId="0" applyNumberFormat="1" applyFill="1" applyBorder="1" applyAlignment="1">
      <alignment wrapText="1"/>
    </xf>
    <xf numFmtId="0" fontId="0" fillId="32" borderId="58" xfId="0" applyFill="1" applyBorder="1" applyAlignment="1">
      <alignment wrapText="1"/>
    </xf>
    <xf numFmtId="0" fontId="0" fillId="32" borderId="68" xfId="0" applyFill="1" applyBorder="1" applyAlignment="1">
      <alignment wrapText="1"/>
    </xf>
    <xf numFmtId="1" fontId="2" fillId="32" borderId="49" xfId="0" applyNumberFormat="1" applyFont="1" applyFill="1" applyBorder="1" applyAlignment="1">
      <alignment wrapText="1"/>
    </xf>
    <xf numFmtId="2" fontId="0" fillId="32" borderId="75" xfId="0" applyNumberFormat="1" applyFill="1" applyBorder="1" applyAlignment="1">
      <alignment wrapText="1"/>
    </xf>
    <xf numFmtId="1" fontId="0" fillId="32" borderId="74" xfId="0" applyNumberFormat="1" applyFill="1" applyBorder="1" applyAlignment="1">
      <alignment wrapText="1"/>
    </xf>
    <xf numFmtId="11" fontId="0" fillId="16" borderId="42" xfId="0" applyNumberFormat="1" applyFill="1" applyBorder="1" applyAlignment="1">
      <alignment wrapText="1"/>
    </xf>
    <xf numFmtId="1" fontId="0" fillId="22" borderId="38" xfId="0" applyNumberFormat="1" applyFill="1" applyBorder="1" applyAlignment="1">
      <alignment wrapText="1"/>
    </xf>
    <xf numFmtId="1" fontId="2" fillId="23" borderId="16" xfId="0" applyNumberFormat="1" applyFont="1" applyFill="1" applyBorder="1" applyAlignment="1">
      <alignment wrapText="1"/>
    </xf>
    <xf numFmtId="2" fontId="0" fillId="22" borderId="72" xfId="0" applyNumberFormat="1" applyFill="1" applyBorder="1" applyAlignment="1">
      <alignment wrapText="1"/>
    </xf>
    <xf numFmtId="2" fontId="0" fillId="32" borderId="74" xfId="0" applyNumberFormat="1" applyFill="1" applyBorder="1" applyAlignment="1">
      <alignment wrapText="1"/>
    </xf>
    <xf numFmtId="2" fontId="0" fillId="32" borderId="65" xfId="0" applyNumberFormat="1" applyFill="1" applyBorder="1" applyAlignment="1">
      <alignment wrapText="1"/>
    </xf>
    <xf numFmtId="1" fontId="2" fillId="15" borderId="16" xfId="0" applyNumberFormat="1" applyFont="1" applyFill="1" applyBorder="1" applyAlignment="1">
      <alignment wrapText="1"/>
    </xf>
    <xf numFmtId="2" fontId="0" fillId="9" borderId="5" xfId="0" applyNumberFormat="1" applyFill="1" applyBorder="1" applyAlignment="1">
      <alignment wrapText="1"/>
    </xf>
    <xf numFmtId="1" fontId="0" fillId="9" borderId="52" xfId="0" applyNumberFormat="1" applyFill="1" applyBorder="1" applyAlignment="1">
      <alignment wrapText="1"/>
    </xf>
    <xf numFmtId="2" fontId="0" fillId="9" borderId="39" xfId="0" applyNumberFormat="1" applyFill="1" applyBorder="1" applyAlignment="1">
      <alignment wrapText="1"/>
    </xf>
    <xf numFmtId="1" fontId="0" fillId="29" borderId="52" xfId="0" applyNumberFormat="1" applyFill="1" applyBorder="1" applyAlignment="1">
      <alignment wrapText="1"/>
    </xf>
    <xf numFmtId="1" fontId="0" fillId="29" borderId="39" xfId="0" applyNumberFormat="1" applyFill="1" applyBorder="1" applyAlignment="1">
      <alignment wrapText="1"/>
    </xf>
    <xf numFmtId="1" fontId="0" fillId="29" borderId="61" xfId="0" applyNumberFormat="1" applyFill="1" applyBorder="1" applyAlignment="1">
      <alignment wrapText="1"/>
    </xf>
    <xf numFmtId="1" fontId="0" fillId="9" borderId="64" xfId="0" applyNumberFormat="1" applyFill="1" applyBorder="1" applyAlignment="1">
      <alignment wrapText="1"/>
    </xf>
    <xf numFmtId="1" fontId="2" fillId="15" borderId="15" xfId="0" applyNumberFormat="1" applyFont="1" applyFill="1" applyBorder="1" applyAlignment="1">
      <alignment wrapText="1"/>
    </xf>
    <xf numFmtId="2" fontId="0" fillId="9" borderId="27" xfId="0" applyNumberFormat="1" applyFill="1" applyBorder="1" applyAlignment="1">
      <alignment wrapText="1"/>
    </xf>
    <xf numFmtId="1" fontId="0" fillId="29" borderId="30" xfId="0" applyNumberFormat="1" applyFill="1" applyBorder="1" applyAlignment="1">
      <alignment wrapText="1"/>
    </xf>
    <xf numFmtId="1" fontId="0" fillId="29" borderId="27" xfId="0" applyNumberFormat="1" applyFill="1" applyBorder="1" applyAlignment="1">
      <alignment wrapText="1"/>
    </xf>
    <xf numFmtId="2" fontId="0" fillId="9" borderId="52" xfId="0" applyNumberFormat="1" applyFill="1" applyBorder="1" applyAlignment="1">
      <alignment wrapText="1"/>
    </xf>
    <xf numFmtId="2" fontId="2" fillId="15" borderId="49" xfId="0" applyNumberFormat="1" applyFont="1" applyFill="1" applyBorder="1" applyAlignment="1">
      <alignment wrapText="1"/>
    </xf>
    <xf numFmtId="2" fontId="0" fillId="29" borderId="52" xfId="0" applyNumberFormat="1" applyFill="1" applyBorder="1" applyAlignment="1">
      <alignment wrapText="1"/>
    </xf>
    <xf numFmtId="2" fontId="0" fillId="29" borderId="39" xfId="0" applyNumberFormat="1" applyFill="1" applyBorder="1" applyAlignment="1">
      <alignment wrapText="1"/>
    </xf>
    <xf numFmtId="165" fontId="0" fillId="29" borderId="61" xfId="0" applyNumberFormat="1" applyFill="1" applyBorder="1" applyAlignment="1">
      <alignment wrapText="1"/>
    </xf>
    <xf numFmtId="2" fontId="0" fillId="29" borderId="61" xfId="0" applyNumberFormat="1" applyFill="1" applyBorder="1" applyAlignment="1">
      <alignment wrapText="1"/>
    </xf>
    <xf numFmtId="165" fontId="2" fillId="15" borderId="15" xfId="0" applyNumberFormat="1" applyFont="1" applyFill="1" applyBorder="1" applyAlignment="1">
      <alignment wrapText="1"/>
    </xf>
    <xf numFmtId="165" fontId="0" fillId="29" borderId="30" xfId="0" applyNumberFormat="1" applyFill="1" applyBorder="1" applyAlignment="1">
      <alignment wrapText="1"/>
    </xf>
    <xf numFmtId="165" fontId="0" fillId="29" borderId="27" xfId="0" applyNumberFormat="1" applyFill="1" applyBorder="1" applyAlignment="1">
      <alignment wrapText="1"/>
    </xf>
    <xf numFmtId="165" fontId="2" fillId="15" borderId="49" xfId="0" applyNumberFormat="1" applyFont="1" applyFill="1" applyBorder="1" applyAlignment="1">
      <alignment wrapText="1"/>
    </xf>
    <xf numFmtId="1" fontId="0" fillId="9" borderId="39" xfId="0" applyNumberFormat="1" applyFill="1" applyBorder="1" applyAlignment="1">
      <alignment wrapText="1"/>
    </xf>
    <xf numFmtId="2" fontId="0" fillId="9" borderId="69" xfId="0" applyNumberFormat="1" applyFill="1" applyBorder="1" applyAlignment="1">
      <alignment wrapText="1"/>
    </xf>
    <xf numFmtId="0" fontId="0" fillId="29" borderId="58" xfId="0" applyFill="1" applyBorder="1" applyAlignment="1">
      <alignment wrapText="1"/>
    </xf>
    <xf numFmtId="0" fontId="0" fillId="29" borderId="68" xfId="0" applyFill="1" applyBorder="1" applyAlignment="1">
      <alignment wrapText="1"/>
    </xf>
    <xf numFmtId="165" fontId="0" fillId="9" borderId="64" xfId="0" applyNumberFormat="1" applyFill="1" applyBorder="1" applyAlignment="1">
      <alignment wrapText="1"/>
    </xf>
    <xf numFmtId="1" fontId="6" fillId="22" borderId="9" xfId="0" applyNumberFormat="1" applyFont="1" applyFill="1" applyBorder="1" applyAlignment="1">
      <alignment horizontal="right" wrapText="1"/>
    </xf>
    <xf numFmtId="11" fontId="0" fillId="30" borderId="33" xfId="0" applyNumberFormat="1" applyFont="1" applyFill="1" applyBorder="1"/>
    <xf numFmtId="2" fontId="0" fillId="22" borderId="34" xfId="0" applyNumberFormat="1" applyFill="1" applyBorder="1" applyAlignment="1">
      <alignment wrapText="1"/>
    </xf>
    <xf numFmtId="11" fontId="0" fillId="16" borderId="9" xfId="0" applyNumberFormat="1" applyFill="1" applyBorder="1" applyAlignment="1">
      <alignment wrapText="1"/>
    </xf>
    <xf numFmtId="11" fontId="0" fillId="30" borderId="9" xfId="0" applyNumberFormat="1" applyFill="1" applyBorder="1" applyAlignment="1">
      <alignment wrapText="1"/>
    </xf>
    <xf numFmtId="1" fontId="0" fillId="22" borderId="41" xfId="0" applyNumberFormat="1" applyFill="1" applyBorder="1" applyAlignment="1">
      <alignment wrapText="1"/>
    </xf>
    <xf numFmtId="2" fontId="0" fillId="22" borderId="19" xfId="0" applyNumberFormat="1" applyFill="1" applyBorder="1" applyAlignment="1">
      <alignment wrapText="1"/>
    </xf>
    <xf numFmtId="1" fontId="0" fillId="22" borderId="8" xfId="0" applyNumberFormat="1" applyFill="1" applyBorder="1" applyAlignment="1">
      <alignment wrapText="1"/>
    </xf>
    <xf numFmtId="11" fontId="0" fillId="30" borderId="42" xfId="0" applyNumberFormat="1" applyFont="1" applyFill="1" applyBorder="1"/>
    <xf numFmtId="1" fontId="0" fillId="9" borderId="38" xfId="0" applyNumberFormat="1" applyFill="1" applyBorder="1" applyAlignment="1">
      <alignment wrapText="1"/>
    </xf>
    <xf numFmtId="2" fontId="0" fillId="9" borderId="72" xfId="0" applyNumberFormat="1" applyFill="1" applyBorder="1" applyAlignment="1">
      <alignment wrapText="1"/>
    </xf>
    <xf numFmtId="165" fontId="0" fillId="9" borderId="29" xfId="0" applyNumberFormat="1" applyFill="1" applyBorder="1" applyAlignment="1">
      <alignment wrapText="1"/>
    </xf>
    <xf numFmtId="11" fontId="0" fillId="29" borderId="9" xfId="0" applyNumberFormat="1" applyFill="1" applyBorder="1" applyAlignment="1">
      <alignment wrapText="1"/>
    </xf>
    <xf numFmtId="1" fontId="0" fillId="29" borderId="41" xfId="0" applyNumberFormat="1" applyFill="1" applyBorder="1" applyAlignment="1">
      <alignment wrapText="1"/>
    </xf>
    <xf numFmtId="0" fontId="0" fillId="29" borderId="22" xfId="0" applyFill="1" applyBorder="1" applyAlignment="1">
      <alignment wrapText="1"/>
    </xf>
    <xf numFmtId="0" fontId="0" fillId="29" borderId="47" xfId="0" applyFill="1" applyBorder="1" applyAlignment="1">
      <alignment wrapText="1"/>
    </xf>
    <xf numFmtId="2" fontId="0" fillId="29" borderId="19" xfId="0" applyNumberFormat="1" applyFill="1" applyBorder="1" applyAlignment="1">
      <alignment wrapText="1"/>
    </xf>
    <xf numFmtId="1" fontId="0" fillId="9" borderId="8" xfId="0" applyNumberFormat="1" applyFill="1" applyBorder="1" applyAlignment="1">
      <alignment wrapText="1"/>
    </xf>
    <xf numFmtId="1" fontId="0" fillId="9" borderId="41" xfId="0" applyNumberFormat="1" applyFill="1" applyBorder="1" applyAlignment="1">
      <alignment wrapText="1"/>
    </xf>
    <xf numFmtId="1" fontId="0" fillId="9" borderId="20" xfId="0" applyNumberFormat="1" applyFill="1" applyBorder="1" applyAlignment="1">
      <alignment wrapText="1"/>
    </xf>
    <xf numFmtId="1" fontId="0" fillId="37" borderId="53" xfId="0" applyNumberFormat="1" applyFill="1" applyBorder="1" applyAlignment="1">
      <alignment wrapText="1"/>
    </xf>
    <xf numFmtId="0" fontId="2" fillId="8" borderId="14" xfId="0" applyFont="1" applyFill="1" applyBorder="1" applyAlignment="1">
      <alignment horizontal="center" vertical="center" wrapText="1"/>
    </xf>
    <xf numFmtId="0" fontId="2" fillId="30" borderId="14" xfId="0" applyFont="1" applyFill="1" applyBorder="1" applyAlignment="1">
      <alignment horizontal="center" vertical="center" wrapText="1"/>
    </xf>
    <xf numFmtId="0" fontId="2" fillId="0" borderId="18" xfId="0" applyFont="1" applyFill="1" applyBorder="1" applyAlignment="1">
      <alignment horizontal="center" vertical="center" wrapText="1"/>
    </xf>
    <xf numFmtId="11" fontId="6" fillId="16" borderId="4" xfId="0" applyNumberFormat="1" applyFont="1" applyFill="1" applyBorder="1" applyAlignment="1">
      <alignment wrapText="1"/>
    </xf>
    <xf numFmtId="2" fontId="0" fillId="22" borderId="70" xfId="0" applyNumberFormat="1" applyFill="1" applyBorder="1" applyAlignment="1">
      <alignment wrapText="1"/>
    </xf>
    <xf numFmtId="1" fontId="0" fillId="22" borderId="2" xfId="0" applyNumberFormat="1" applyFill="1" applyBorder="1" applyAlignment="1">
      <alignment wrapText="1"/>
    </xf>
    <xf numFmtId="11" fontId="0" fillId="30" borderId="49" xfId="0" applyNumberFormat="1" applyFont="1" applyFill="1" applyBorder="1"/>
    <xf numFmtId="2" fontId="0" fillId="9" borderId="70" xfId="0" applyNumberFormat="1" applyFill="1" applyBorder="1" applyAlignment="1">
      <alignment wrapText="1"/>
    </xf>
    <xf numFmtId="1" fontId="0" fillId="9" borderId="2" xfId="0" applyNumberFormat="1" applyFill="1" applyBorder="1" applyAlignment="1">
      <alignment wrapText="1"/>
    </xf>
    <xf numFmtId="11" fontId="0" fillId="30" borderId="4" xfId="0" applyNumberFormat="1" applyFont="1" applyFill="1" applyBorder="1"/>
    <xf numFmtId="1" fontId="2" fillId="38" borderId="3" xfId="0" applyNumberFormat="1" applyFont="1" applyFill="1" applyBorder="1" applyAlignment="1">
      <alignment wrapText="1"/>
    </xf>
    <xf numFmtId="1" fontId="6" fillId="37" borderId="1" xfId="0" applyNumberFormat="1" applyFont="1" applyFill="1" applyBorder="1" applyAlignment="1">
      <alignment horizontal="right" wrapText="1"/>
    </xf>
    <xf numFmtId="11" fontId="0" fillId="0" borderId="17" xfId="0" applyNumberFormat="1" applyBorder="1"/>
    <xf numFmtId="0" fontId="2" fillId="0" borderId="9"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8" borderId="9" xfId="0" applyFont="1" applyFill="1" applyBorder="1" applyAlignment="1">
      <alignment horizontal="center" vertical="center" wrapText="1"/>
    </xf>
    <xf numFmtId="11" fontId="6" fillId="8" borderId="47" xfId="0" applyNumberFormat="1" applyFont="1" applyFill="1" applyBorder="1" applyAlignment="1">
      <alignment horizontal="center" vertical="center" wrapText="1"/>
    </xf>
    <xf numFmtId="0" fontId="23" fillId="8" borderId="9" xfId="0" applyFont="1" applyFill="1" applyBorder="1" applyAlignment="1">
      <alignment wrapText="1"/>
    </xf>
    <xf numFmtId="0" fontId="2" fillId="8" borderId="41" xfId="0" applyFont="1" applyFill="1" applyBorder="1" applyAlignment="1">
      <alignment wrapText="1"/>
    </xf>
    <xf numFmtId="0" fontId="2" fillId="8" borderId="20" xfId="0" applyFont="1" applyFill="1" applyBorder="1" applyAlignment="1">
      <alignment wrapText="1"/>
    </xf>
    <xf numFmtId="0" fontId="2" fillId="16" borderId="14" xfId="0" applyFont="1" applyFill="1" applyBorder="1" applyAlignment="1">
      <alignment horizontal="center" vertical="center" wrapText="1"/>
    </xf>
    <xf numFmtId="11" fontId="2" fillId="16" borderId="41" xfId="0" applyNumberFormat="1" applyFont="1" applyFill="1" applyBorder="1" applyAlignment="1">
      <alignment horizontal="right" vertical="center" wrapText="1"/>
    </xf>
    <xf numFmtId="11" fontId="2" fillId="16" borderId="22" xfId="0" applyNumberFormat="1" applyFont="1" applyFill="1" applyBorder="1" applyAlignment="1">
      <alignment horizontal="right" vertical="center" wrapText="1"/>
    </xf>
    <xf numFmtId="11" fontId="2" fillId="16" borderId="47" xfId="0" applyNumberFormat="1" applyFont="1" applyFill="1" applyBorder="1" applyAlignment="1">
      <alignment horizontal="right" vertical="center" wrapText="1"/>
    </xf>
    <xf numFmtId="0" fontId="23" fillId="16" borderId="9" xfId="0" applyFont="1" applyFill="1" applyBorder="1" applyAlignment="1">
      <alignment wrapText="1"/>
    </xf>
    <xf numFmtId="0" fontId="2" fillId="16" borderId="22" xfId="0" applyFont="1" applyFill="1" applyBorder="1" applyAlignment="1">
      <alignment wrapText="1"/>
    </xf>
    <xf numFmtId="0" fontId="2" fillId="30" borderId="9" xfId="0" applyFont="1" applyFill="1" applyBorder="1" applyAlignment="1">
      <alignment horizontal="center" vertical="center" wrapText="1"/>
    </xf>
    <xf numFmtId="11" fontId="2" fillId="30" borderId="47" xfId="0" applyNumberFormat="1" applyFont="1" applyFill="1" applyBorder="1" applyAlignment="1">
      <alignment horizontal="center" vertical="center" wrapText="1"/>
    </xf>
    <xf numFmtId="0" fontId="23" fillId="30" borderId="9" xfId="0" applyFont="1" applyFill="1" applyBorder="1" applyAlignment="1">
      <alignment wrapText="1"/>
    </xf>
    <xf numFmtId="0" fontId="2" fillId="30" borderId="22" xfId="0" applyFont="1" applyFill="1" applyBorder="1" applyAlignment="1">
      <alignment wrapText="1"/>
    </xf>
    <xf numFmtId="11" fontId="6" fillId="9" borderId="10" xfId="0" applyNumberFormat="1" applyFont="1" applyFill="1" applyBorder="1" applyAlignment="1">
      <alignment horizontal="center" wrapText="1"/>
    </xf>
    <xf numFmtId="166" fontId="25" fillId="22" borderId="5" xfId="0" applyNumberFormat="1" applyFont="1" applyFill="1" applyBorder="1" applyAlignment="1">
      <alignment horizontal="center" wrapText="1"/>
    </xf>
    <xf numFmtId="1" fontId="25" fillId="20" borderId="21" xfId="0" applyNumberFormat="1" applyFont="1" applyFill="1" applyBorder="1" applyAlignment="1">
      <alignment horizontal="center" wrapText="1"/>
    </xf>
    <xf numFmtId="165" fontId="23" fillId="22" borderId="21" xfId="0" applyNumberFormat="1" applyFont="1" applyFill="1" applyBorder="1" applyAlignment="1">
      <alignment horizontal="center" wrapText="1"/>
    </xf>
    <xf numFmtId="0" fontId="25" fillId="0" borderId="0" xfId="0" applyFont="1"/>
    <xf numFmtId="0" fontId="25" fillId="19" borderId="3" xfId="0" applyFont="1" applyFill="1" applyBorder="1" applyAlignment="1">
      <alignment wrapText="1"/>
    </xf>
    <xf numFmtId="1" fontId="25" fillId="20" borderId="35" xfId="0" applyNumberFormat="1" applyFont="1" applyFill="1" applyBorder="1" applyAlignment="1">
      <alignment horizontal="center" wrapText="1"/>
    </xf>
    <xf numFmtId="2" fontId="25" fillId="22" borderId="9" xfId="0" applyNumberFormat="1" applyFont="1" applyFill="1" applyBorder="1" applyAlignment="1">
      <alignment wrapText="1"/>
    </xf>
    <xf numFmtId="165" fontId="25" fillId="0" borderId="0" xfId="0" applyNumberFormat="1" applyFont="1" applyFill="1" applyBorder="1" applyAlignment="1">
      <alignment wrapText="1"/>
    </xf>
    <xf numFmtId="0" fontId="25" fillId="19" borderId="9" xfId="0" applyFont="1" applyFill="1" applyBorder="1" applyAlignment="1">
      <alignment wrapText="1"/>
    </xf>
    <xf numFmtId="165" fontId="25" fillId="22" borderId="23" xfId="0" applyNumberFormat="1" applyFont="1" applyFill="1" applyBorder="1" applyAlignment="1">
      <alignment wrapText="1"/>
    </xf>
    <xf numFmtId="2" fontId="25" fillId="22" borderId="40" xfId="0" applyNumberFormat="1" applyFont="1" applyFill="1" applyBorder="1" applyAlignment="1">
      <alignment wrapText="1"/>
    </xf>
    <xf numFmtId="11" fontId="25" fillId="30" borderId="4" xfId="0" applyNumberFormat="1" applyFont="1" applyFill="1" applyBorder="1" applyAlignment="1">
      <alignment wrapText="1"/>
    </xf>
    <xf numFmtId="166" fontId="25" fillId="20" borderId="1" xfId="0" applyNumberFormat="1" applyFont="1" applyFill="1" applyBorder="1" applyAlignment="1">
      <alignment horizontal="center" wrapText="1"/>
    </xf>
    <xf numFmtId="166" fontId="23" fillId="39" borderId="21" xfId="0" applyNumberFormat="1" applyFont="1" applyFill="1" applyBorder="1" applyAlignment="1">
      <alignment horizontal="center" wrapText="1"/>
    </xf>
    <xf numFmtId="11" fontId="25" fillId="16" borderId="4" xfId="0" applyNumberFormat="1" applyFont="1" applyFill="1" applyBorder="1" applyAlignment="1">
      <alignment wrapText="1"/>
    </xf>
    <xf numFmtId="2" fontId="25" fillId="22" borderId="36" xfId="0" applyNumberFormat="1" applyFont="1" applyFill="1" applyBorder="1" applyAlignment="1">
      <alignment wrapText="1"/>
    </xf>
    <xf numFmtId="2" fontId="25" fillId="39" borderId="9" xfId="0" applyNumberFormat="1" applyFont="1" applyFill="1" applyBorder="1" applyAlignment="1">
      <alignment wrapText="1"/>
    </xf>
    <xf numFmtId="2" fontId="25" fillId="0" borderId="0" xfId="0" applyNumberFormat="1" applyFont="1" applyFill="1" applyBorder="1" applyAlignment="1">
      <alignment wrapText="1"/>
    </xf>
    <xf numFmtId="11" fontId="25" fillId="30" borderId="9" xfId="0" applyNumberFormat="1" applyFont="1" applyFill="1" applyBorder="1" applyAlignment="1">
      <alignment wrapText="1"/>
    </xf>
    <xf numFmtId="2" fontId="25" fillId="39" borderId="23" xfId="0" applyNumberFormat="1" applyFont="1" applyFill="1" applyBorder="1" applyAlignment="1">
      <alignment wrapText="1"/>
    </xf>
    <xf numFmtId="2" fontId="25" fillId="39" borderId="40" xfId="0" applyNumberFormat="1" applyFont="1" applyFill="1" applyBorder="1" applyAlignment="1">
      <alignment wrapText="1"/>
    </xf>
    <xf numFmtId="11" fontId="6" fillId="9" borderId="12" xfId="0" applyNumberFormat="1" applyFont="1" applyFill="1" applyBorder="1" applyAlignment="1">
      <alignment horizontal="center" wrapText="1"/>
    </xf>
    <xf numFmtId="166" fontId="25" fillId="22" borderId="1" xfId="0" applyNumberFormat="1" applyFont="1" applyFill="1" applyBorder="1" applyAlignment="1">
      <alignment horizontal="center" wrapText="1"/>
    </xf>
    <xf numFmtId="1" fontId="25" fillId="0" borderId="0" xfId="0" applyNumberFormat="1" applyFont="1" applyFill="1" applyBorder="1" applyAlignment="1">
      <alignment wrapText="1"/>
    </xf>
    <xf numFmtId="2" fontId="25" fillId="22" borderId="23" xfId="0" applyNumberFormat="1" applyFont="1" applyFill="1" applyBorder="1" applyAlignment="1">
      <alignment wrapText="1"/>
    </xf>
    <xf numFmtId="11" fontId="25" fillId="30" borderId="3" xfId="0" applyNumberFormat="1" applyFont="1" applyFill="1" applyBorder="1" applyAlignment="1">
      <alignment wrapText="1"/>
    </xf>
    <xf numFmtId="0" fontId="2" fillId="4" borderId="9" xfId="0" applyFont="1" applyFill="1" applyBorder="1" applyAlignment="1">
      <alignment wrapText="1"/>
    </xf>
    <xf numFmtId="11" fontId="2" fillId="4" borderId="9" xfId="0" applyNumberFormat="1" applyFont="1" applyFill="1" applyBorder="1" applyAlignment="1">
      <alignment wrapText="1"/>
    </xf>
    <xf numFmtId="0" fontId="25" fillId="30" borderId="9" xfId="0" applyFont="1" applyFill="1" applyBorder="1" applyAlignment="1">
      <alignment wrapText="1"/>
    </xf>
    <xf numFmtId="1" fontId="23" fillId="22" borderId="13" xfId="0" applyNumberFormat="1" applyFont="1" applyFill="1" applyBorder="1" applyAlignment="1">
      <alignment horizontal="center" wrapText="1"/>
    </xf>
    <xf numFmtId="1" fontId="23" fillId="20" borderId="51" xfId="0" applyNumberFormat="1" applyFont="1" applyFill="1" applyBorder="1" applyAlignment="1">
      <alignment horizontal="center" wrapText="1"/>
    </xf>
    <xf numFmtId="1" fontId="23" fillId="20" borderId="18" xfId="0" applyNumberFormat="1" applyFont="1" applyFill="1" applyBorder="1" applyAlignment="1">
      <alignment horizontal="center" wrapText="1"/>
    </xf>
    <xf numFmtId="1" fontId="23" fillId="22" borderId="14" xfId="0" applyNumberFormat="1" applyFont="1" applyFill="1" applyBorder="1" applyAlignment="1">
      <alignment horizontal="center" wrapText="1"/>
    </xf>
    <xf numFmtId="0" fontId="25" fillId="0" borderId="16" xfId="0" applyFont="1" applyBorder="1"/>
    <xf numFmtId="0" fontId="25" fillId="16" borderId="9" xfId="0" applyFont="1" applyFill="1" applyBorder="1" applyAlignment="1">
      <alignment wrapText="1"/>
    </xf>
    <xf numFmtId="0" fontId="25" fillId="22" borderId="41" xfId="0" applyFont="1" applyFill="1" applyBorder="1" applyAlignment="1">
      <alignment wrapText="1"/>
    </xf>
    <xf numFmtId="1" fontId="25" fillId="22" borderId="9" xfId="0" applyNumberFormat="1" applyFont="1" applyFill="1" applyBorder="1" applyAlignment="1">
      <alignment wrapText="1"/>
    </xf>
    <xf numFmtId="0" fontId="8" fillId="0" borderId="0" xfId="0" applyFont="1" applyFill="1" applyBorder="1" applyAlignment="1">
      <alignment wrapText="1"/>
    </xf>
    <xf numFmtId="0" fontId="8" fillId="0" borderId="0" xfId="0" applyFont="1" applyFill="1" applyBorder="1" applyAlignment="1">
      <alignment horizontal="center" wrapText="1"/>
    </xf>
    <xf numFmtId="11" fontId="0" fillId="0" borderId="0" xfId="0" applyNumberFormat="1"/>
    <xf numFmtId="2" fontId="0" fillId="0" borderId="0" xfId="0" applyNumberFormat="1"/>
    <xf numFmtId="0" fontId="6" fillId="4" borderId="12"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6" fillId="3" borderId="12" xfId="0" applyFont="1" applyFill="1" applyBorder="1" applyAlignment="1">
      <alignment horizontal="center" vertical="center" wrapText="1"/>
    </xf>
    <xf numFmtId="9" fontId="0" fillId="0" borderId="0" xfId="3" applyFont="1" applyFill="1" applyBorder="1"/>
    <xf numFmtId="1" fontId="6" fillId="26" borderId="0" xfId="0" applyNumberFormat="1" applyFont="1" applyFill="1" applyBorder="1"/>
    <xf numFmtId="165" fontId="6" fillId="26" borderId="0" xfId="0" applyNumberFormat="1" applyFont="1" applyFill="1" applyBorder="1"/>
    <xf numFmtId="9" fontId="2" fillId="0" borderId="0" xfId="3" applyFont="1" applyFill="1" applyBorder="1"/>
    <xf numFmtId="0" fontId="0" fillId="0" borderId="21" xfId="0" applyBorder="1"/>
    <xf numFmtId="0" fontId="6" fillId="0" borderId="0" xfId="0" applyFont="1"/>
    <xf numFmtId="0" fontId="6" fillId="0" borderId="21" xfId="0" applyFont="1" applyBorder="1"/>
    <xf numFmtId="0" fontId="2" fillId="0" borderId="21" xfId="0" applyFont="1" applyBorder="1" applyAlignment="1">
      <alignment horizontal="center" vertical="center"/>
    </xf>
    <xf numFmtId="0" fontId="6" fillId="0" borderId="0" xfId="0" applyFont="1" applyAlignment="1">
      <alignment vertical="center"/>
    </xf>
    <xf numFmtId="0" fontId="2" fillId="4" borderId="12" xfId="0" applyFont="1" applyFill="1" applyBorder="1" applyAlignment="1">
      <alignment horizontal="center" vertical="center" wrapText="1"/>
    </xf>
    <xf numFmtId="0" fontId="2" fillId="9" borderId="10"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4" borderId="10" xfId="0" applyFont="1" applyFill="1" applyBorder="1" applyAlignment="1">
      <alignment horizontal="center" vertical="center" wrapText="1"/>
    </xf>
    <xf numFmtId="1" fontId="6" fillId="2" borderId="21" xfId="0" applyNumberFormat="1" applyFont="1" applyFill="1" applyBorder="1" applyAlignment="1">
      <alignment horizontal="center" vertical="center" wrapText="1"/>
    </xf>
    <xf numFmtId="165" fontId="6" fillId="26" borderId="21" xfId="0" applyNumberFormat="1" applyFont="1" applyFill="1" applyBorder="1" applyAlignment="1">
      <alignment horizontal="center" vertical="center"/>
    </xf>
    <xf numFmtId="1" fontId="0" fillId="22" borderId="21" xfId="0" applyNumberFormat="1" applyFill="1" applyBorder="1" applyAlignment="1">
      <alignment horizontal="center" vertical="center"/>
    </xf>
    <xf numFmtId="1" fontId="6" fillId="26" borderId="21" xfId="0" applyNumberFormat="1" applyFont="1" applyFill="1" applyBorder="1" applyAlignment="1">
      <alignment horizontal="center" vertical="center"/>
    </xf>
    <xf numFmtId="1" fontId="0" fillId="14" borderId="21" xfId="0" applyNumberFormat="1" applyFill="1" applyBorder="1" applyAlignment="1">
      <alignment horizontal="center" vertical="center"/>
    </xf>
    <xf numFmtId="1" fontId="0" fillId="11" borderId="21" xfId="0" applyNumberFormat="1" applyFill="1" applyBorder="1" applyAlignment="1">
      <alignment horizontal="center" vertical="center"/>
    </xf>
    <xf numFmtId="2" fontId="0" fillId="14" borderId="21" xfId="0" applyNumberFormat="1" applyFill="1" applyBorder="1" applyAlignment="1">
      <alignment horizontal="center" vertical="center"/>
    </xf>
    <xf numFmtId="165" fontId="0" fillId="14" borderId="21" xfId="0" applyNumberFormat="1" applyFill="1" applyBorder="1" applyAlignment="1">
      <alignment horizontal="center" vertical="center"/>
    </xf>
    <xf numFmtId="165" fontId="0" fillId="11" borderId="21" xfId="0" applyNumberFormat="1" applyFill="1" applyBorder="1" applyAlignment="1">
      <alignment horizontal="center" vertical="center"/>
    </xf>
    <xf numFmtId="2" fontId="0" fillId="11" borderId="21" xfId="0" applyNumberFormat="1" applyFill="1" applyBorder="1" applyAlignment="1">
      <alignment horizontal="center" vertical="center"/>
    </xf>
    <xf numFmtId="2" fontId="0" fillId="22" borderId="21" xfId="0" applyNumberFormat="1" applyFill="1" applyBorder="1" applyAlignment="1">
      <alignment horizontal="center" vertical="center"/>
    </xf>
    <xf numFmtId="0" fontId="2" fillId="4" borderId="43"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6" fillId="19" borderId="10" xfId="0" applyFont="1" applyFill="1" applyBorder="1" applyAlignment="1">
      <alignment horizontal="center" vertical="center" wrapText="1"/>
    </xf>
    <xf numFmtId="0" fontId="6" fillId="3" borderId="66" xfId="0" applyFont="1" applyFill="1" applyBorder="1" applyAlignment="1">
      <alignment horizontal="center" vertical="center" wrapText="1"/>
    </xf>
    <xf numFmtId="0" fontId="6" fillId="0" borderId="21" xfId="0" applyFont="1" applyBorder="1" applyAlignment="1">
      <alignment horizontal="center" vertical="center" wrapText="1"/>
    </xf>
    <xf numFmtId="0" fontId="2" fillId="0" borderId="21" xfId="0" applyFont="1" applyBorder="1" applyAlignment="1">
      <alignment horizontal="center" vertical="center" wrapText="1"/>
    </xf>
    <xf numFmtId="0" fontId="6" fillId="0" borderId="21" xfId="0" applyFont="1" applyFill="1" applyBorder="1" applyAlignment="1">
      <alignment horizontal="center" vertical="center" wrapText="1"/>
    </xf>
    <xf numFmtId="0" fontId="0" fillId="0" borderId="21" xfId="0" applyBorder="1" applyAlignment="1">
      <alignment horizontal="center" vertical="center" wrapText="1"/>
    </xf>
    <xf numFmtId="1" fontId="0" fillId="0" borderId="21" xfId="0" applyNumberFormat="1" applyBorder="1" applyAlignment="1">
      <alignment horizontal="center" vertical="center" wrapText="1"/>
    </xf>
    <xf numFmtId="2" fontId="0" fillId="0" borderId="21" xfId="0" applyNumberFormat="1" applyBorder="1" applyAlignment="1">
      <alignment horizontal="center" vertical="center" wrapText="1"/>
    </xf>
    <xf numFmtId="11" fontId="0" fillId="0" borderId="21" xfId="0" applyNumberFormat="1" applyBorder="1" applyAlignment="1">
      <alignment horizontal="center" vertical="center" wrapText="1"/>
    </xf>
    <xf numFmtId="165" fontId="0" fillId="0" borderId="21" xfId="0" applyNumberFormat="1" applyBorder="1" applyAlignment="1">
      <alignment horizontal="center" vertical="center" wrapText="1"/>
    </xf>
    <xf numFmtId="169" fontId="0" fillId="0" borderId="21" xfId="2" applyNumberFormat="1" applyFont="1" applyBorder="1" applyAlignment="1">
      <alignment horizontal="center" vertical="center" wrapText="1"/>
    </xf>
    <xf numFmtId="11" fontId="6" fillId="0" borderId="21" xfId="0" applyNumberFormat="1" applyFont="1" applyBorder="1" applyAlignment="1">
      <alignment horizontal="center" vertical="center" wrapText="1"/>
    </xf>
    <xf numFmtId="165" fontId="0" fillId="29" borderId="21" xfId="0" applyNumberFormat="1" applyFill="1" applyBorder="1" applyAlignment="1">
      <alignment horizontal="center" vertical="center" wrapText="1"/>
    </xf>
    <xf numFmtId="11" fontId="2" fillId="0" borderId="21" xfId="0" applyNumberFormat="1" applyFont="1" applyBorder="1" applyAlignment="1">
      <alignment horizontal="center" vertical="center" wrapText="1"/>
    </xf>
    <xf numFmtId="169" fontId="2" fillId="0" borderId="21" xfId="2" applyNumberFormat="1" applyFont="1" applyBorder="1" applyAlignment="1">
      <alignment horizontal="center" vertical="center" wrapText="1"/>
    </xf>
    <xf numFmtId="0" fontId="2" fillId="0" borderId="0" xfId="0" applyFont="1"/>
    <xf numFmtId="0" fontId="2" fillId="0" borderId="0" xfId="0" applyFont="1" applyAlignment="1">
      <alignment vertical="center"/>
    </xf>
    <xf numFmtId="166" fontId="2" fillId="0" borderId="21" xfId="0" applyNumberFormat="1" applyFont="1" applyBorder="1" applyAlignment="1">
      <alignment horizontal="center" vertical="center" wrapText="1"/>
    </xf>
    <xf numFmtId="164" fontId="2" fillId="0" borderId="21" xfId="0" applyNumberFormat="1" applyFont="1" applyBorder="1" applyAlignment="1">
      <alignment horizontal="center" vertical="center" wrapText="1"/>
    </xf>
    <xf numFmtId="166" fontId="2" fillId="0" borderId="21" xfId="0" applyNumberFormat="1" applyFont="1" applyBorder="1" applyAlignment="1">
      <alignment horizontal="center" vertical="center"/>
    </xf>
    <xf numFmtId="0" fontId="0" fillId="0" borderId="21" xfId="0" applyBorder="1" applyAlignment="1">
      <alignment vertical="center"/>
    </xf>
    <xf numFmtId="11" fontId="2" fillId="0" borderId="21" xfId="0" applyNumberFormat="1" applyFont="1" applyBorder="1" applyAlignment="1">
      <alignment vertical="center"/>
    </xf>
    <xf numFmtId="11" fontId="11" fillId="9" borderId="12" xfId="0" applyNumberFormat="1" applyFont="1" applyFill="1" applyBorder="1" applyAlignment="1">
      <alignment horizontal="center" wrapText="1"/>
    </xf>
    <xf numFmtId="11" fontId="27" fillId="30" borderId="12" xfId="0" applyNumberFormat="1" applyFont="1" applyFill="1" applyBorder="1" applyAlignment="1">
      <alignment horizontal="right" wrapText="1"/>
    </xf>
    <xf numFmtId="166" fontId="27" fillId="22" borderId="1" xfId="0" applyNumberFormat="1" applyFont="1" applyFill="1" applyBorder="1" applyAlignment="1">
      <alignment horizontal="center" wrapText="1"/>
    </xf>
    <xf numFmtId="1" fontId="27" fillId="20" borderId="21" xfId="0" applyNumberFormat="1" applyFont="1" applyFill="1" applyBorder="1" applyAlignment="1">
      <alignment horizontal="center" wrapText="1"/>
    </xf>
    <xf numFmtId="165" fontId="24" fillId="22" borderId="21" xfId="0" applyNumberFormat="1" applyFont="1" applyFill="1" applyBorder="1" applyAlignment="1">
      <alignment horizontal="center" wrapText="1"/>
    </xf>
    <xf numFmtId="0" fontId="27" fillId="0" borderId="0" xfId="0" applyFont="1"/>
    <xf numFmtId="11" fontId="27" fillId="16" borderId="4" xfId="0" applyNumberFormat="1" applyFont="1" applyFill="1" applyBorder="1" applyAlignment="1">
      <alignment horizontal="right" wrapText="1"/>
    </xf>
    <xf numFmtId="11" fontId="27" fillId="30" borderId="9" xfId="0" applyNumberFormat="1" applyFont="1" applyFill="1" applyBorder="1" applyAlignment="1">
      <alignment horizontal="right" wrapText="1"/>
    </xf>
    <xf numFmtId="2" fontId="27" fillId="22" borderId="36" xfId="0" applyNumberFormat="1" applyFont="1" applyFill="1" applyBorder="1" applyAlignment="1">
      <alignment wrapText="1"/>
    </xf>
    <xf numFmtId="1" fontId="27" fillId="20" borderId="35" xfId="0" applyNumberFormat="1" applyFont="1" applyFill="1" applyBorder="1" applyAlignment="1">
      <alignment horizontal="center" wrapText="1"/>
    </xf>
    <xf numFmtId="2" fontId="27" fillId="22" borderId="9" xfId="0" applyNumberFormat="1" applyFont="1" applyFill="1" applyBorder="1" applyAlignment="1">
      <alignment wrapText="1"/>
    </xf>
    <xf numFmtId="1" fontId="27" fillId="0" borderId="0" xfId="0" applyNumberFormat="1" applyFont="1" applyFill="1" applyBorder="1" applyAlignment="1">
      <alignment wrapText="1"/>
    </xf>
    <xf numFmtId="2" fontId="27" fillId="22" borderId="23" xfId="0" applyNumberFormat="1" applyFont="1" applyFill="1" applyBorder="1" applyAlignment="1">
      <alignment wrapText="1"/>
    </xf>
    <xf numFmtId="2" fontId="27" fillId="22" borderId="40" xfId="0" applyNumberFormat="1" applyFont="1" applyFill="1" applyBorder="1" applyAlignment="1">
      <alignment wrapText="1"/>
    </xf>
    <xf numFmtId="0" fontId="11" fillId="0" borderId="0" xfId="0" applyFont="1"/>
    <xf numFmtId="0" fontId="6" fillId="4" borderId="14" xfId="0" applyFont="1" applyFill="1" applyBorder="1" applyAlignment="1">
      <alignment horizontal="center" wrapText="1"/>
    </xf>
    <xf numFmtId="0" fontId="6" fillId="4" borderId="20" xfId="0" applyFont="1" applyFill="1" applyBorder="1" applyAlignment="1">
      <alignment horizontal="center" wrapText="1"/>
    </xf>
    <xf numFmtId="0" fontId="6" fillId="4" borderId="12" xfId="0" applyFont="1" applyFill="1" applyBorder="1" applyAlignment="1">
      <alignment horizontal="center" wrapText="1"/>
    </xf>
    <xf numFmtId="0" fontId="6" fillId="4" borderId="50" xfId="0" applyFont="1" applyFill="1" applyBorder="1" applyAlignment="1">
      <alignment horizontal="center" wrapText="1"/>
    </xf>
    <xf numFmtId="0" fontId="6" fillId="9" borderId="11" xfId="0" applyFont="1" applyFill="1" applyBorder="1" applyAlignment="1">
      <alignment horizontal="center" vertical="center" wrapText="1"/>
    </xf>
    <xf numFmtId="0" fontId="6" fillId="9" borderId="16" xfId="0" applyFont="1" applyFill="1" applyBorder="1" applyAlignment="1">
      <alignment horizontal="center" vertical="center" wrapText="1"/>
    </xf>
    <xf numFmtId="0" fontId="6" fillId="9" borderId="15"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66" xfId="0" applyFont="1" applyFill="1" applyBorder="1" applyAlignment="1">
      <alignment horizontal="center" wrapText="1"/>
    </xf>
    <xf numFmtId="0" fontId="6" fillId="4" borderId="62" xfId="0" applyFont="1" applyFill="1" applyBorder="1" applyAlignment="1">
      <alignment horizontal="center" wrapText="1"/>
    </xf>
    <xf numFmtId="0" fontId="6" fillId="4" borderId="10" xfId="0" applyFont="1" applyFill="1" applyBorder="1" applyAlignment="1">
      <alignment horizontal="center" wrapText="1"/>
    </xf>
    <xf numFmtId="0" fontId="6" fillId="4" borderId="61" xfId="0" applyFont="1" applyFill="1" applyBorder="1" applyAlignment="1">
      <alignment horizontal="center" wrapText="1"/>
    </xf>
    <xf numFmtId="0" fontId="6" fillId="4" borderId="11"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0" fillId="0" borderId="0" xfId="0" applyFill="1" applyAlignment="1">
      <alignment horizontal="center" wrapText="1"/>
    </xf>
    <xf numFmtId="0" fontId="6" fillId="4" borderId="32" xfId="0" applyFont="1" applyFill="1" applyBorder="1" applyAlignment="1">
      <alignment horizontal="center" vertical="center" wrapText="1"/>
    </xf>
    <xf numFmtId="0" fontId="0" fillId="4" borderId="53" xfId="0" applyFill="1" applyBorder="1" applyAlignment="1">
      <alignment horizontal="center" vertical="center" wrapText="1"/>
    </xf>
    <xf numFmtId="0" fontId="0" fillId="4" borderId="5" xfId="0" applyFill="1" applyBorder="1" applyAlignment="1">
      <alignment horizontal="center" vertical="center" wrapText="1"/>
    </xf>
    <xf numFmtId="0" fontId="6" fillId="3" borderId="12" xfId="0" applyFont="1" applyFill="1" applyBorder="1" applyAlignment="1">
      <alignment horizontal="center" wrapText="1"/>
    </xf>
    <xf numFmtId="0" fontId="6" fillId="3" borderId="50" xfId="0" applyFont="1" applyFill="1" applyBorder="1" applyAlignment="1">
      <alignment horizontal="center" wrapText="1"/>
    </xf>
    <xf numFmtId="0" fontId="6" fillId="3" borderId="10" xfId="0" applyFont="1" applyFill="1" applyBorder="1" applyAlignment="1">
      <alignment horizontal="center" wrapText="1"/>
    </xf>
    <xf numFmtId="0" fontId="6" fillId="3" borderId="61" xfId="0" applyFont="1" applyFill="1" applyBorder="1" applyAlignment="1">
      <alignment horizontal="center" wrapText="1"/>
    </xf>
    <xf numFmtId="0" fontId="6" fillId="2" borderId="12" xfId="0" applyFont="1" applyFill="1" applyBorder="1" applyAlignment="1">
      <alignment horizontal="center" wrapText="1"/>
    </xf>
    <xf numFmtId="0" fontId="6" fillId="2" borderId="50" xfId="0" applyFont="1" applyFill="1" applyBorder="1" applyAlignment="1">
      <alignment horizontal="center" wrapText="1"/>
    </xf>
    <xf numFmtId="0" fontId="6" fillId="2" borderId="48" xfId="0" applyFont="1" applyFill="1" applyBorder="1" applyAlignment="1">
      <alignment horizontal="center" wrapText="1"/>
    </xf>
    <xf numFmtId="0" fontId="6" fillId="2" borderId="28" xfId="0" applyFont="1" applyFill="1" applyBorder="1" applyAlignment="1">
      <alignment horizontal="center" wrapText="1"/>
    </xf>
    <xf numFmtId="0" fontId="2" fillId="2" borderId="14" xfId="0" applyFont="1" applyFill="1" applyBorder="1" applyAlignment="1">
      <alignment horizontal="center" wrapText="1"/>
    </xf>
    <xf numFmtId="0" fontId="2" fillId="2" borderId="20" xfId="0" applyFont="1" applyFill="1" applyBorder="1" applyAlignment="1">
      <alignment horizontal="center" wrapText="1"/>
    </xf>
    <xf numFmtId="0" fontId="6" fillId="3" borderId="67" xfId="0" applyFont="1" applyFill="1" applyBorder="1" applyAlignment="1">
      <alignment horizontal="center" wrapText="1"/>
    </xf>
    <xf numFmtId="0" fontId="6" fillId="3" borderId="39" xfId="0" applyFont="1" applyFill="1" applyBorder="1" applyAlignment="1">
      <alignment horizontal="center" wrapText="1"/>
    </xf>
    <xf numFmtId="0" fontId="6" fillId="3" borderId="43" xfId="0" applyFont="1" applyFill="1" applyBorder="1" applyAlignment="1">
      <alignment horizontal="center" wrapText="1"/>
    </xf>
    <xf numFmtId="0" fontId="6" fillId="3" borderId="44" xfId="0" applyFont="1" applyFill="1" applyBorder="1" applyAlignment="1">
      <alignment horizontal="center" wrapText="1"/>
    </xf>
    <xf numFmtId="0" fontId="2" fillId="3" borderId="14" xfId="0" applyFont="1" applyFill="1" applyBorder="1" applyAlignment="1">
      <alignment horizontal="center" wrapText="1"/>
    </xf>
    <xf numFmtId="0" fontId="2" fillId="3" borderId="20" xfId="0" applyFont="1" applyFill="1" applyBorder="1" applyAlignment="1">
      <alignment horizontal="center" wrapText="1"/>
    </xf>
    <xf numFmtId="0" fontId="6" fillId="4" borderId="67" xfId="0" applyFont="1" applyFill="1" applyBorder="1" applyAlignment="1">
      <alignment horizontal="center" wrapText="1"/>
    </xf>
    <xf numFmtId="0" fontId="6" fillId="4" borderId="39" xfId="0" applyFont="1" applyFill="1" applyBorder="1" applyAlignment="1">
      <alignment horizontal="center" wrapText="1"/>
    </xf>
    <xf numFmtId="0" fontId="6" fillId="7" borderId="54" xfId="0" applyFont="1" applyFill="1" applyBorder="1" applyAlignment="1">
      <alignment vertical="center" wrapText="1"/>
    </xf>
    <xf numFmtId="0" fontId="0" fillId="7" borderId="54" xfId="0" applyFill="1" applyBorder="1" applyAlignment="1">
      <alignment vertical="center" wrapText="1"/>
    </xf>
    <xf numFmtId="0" fontId="2" fillId="0" borderId="63"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4" xfId="0" applyFont="1" applyBorder="1" applyAlignment="1">
      <alignment horizontal="center" vertical="center" wrapText="1"/>
    </xf>
    <xf numFmtId="0" fontId="2" fillId="0" borderId="20" xfId="0" applyFont="1" applyBorder="1" applyAlignment="1">
      <alignment horizontal="center" vertical="center" wrapText="1"/>
    </xf>
    <xf numFmtId="0" fontId="0" fillId="0" borderId="0" xfId="0" applyFill="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48" xfId="0" applyFont="1" applyBorder="1" applyAlignment="1">
      <alignment horizontal="center" vertical="center" wrapText="1"/>
    </xf>
    <xf numFmtId="0" fontId="2" fillId="0" borderId="27" xfId="0" applyFont="1" applyBorder="1" applyAlignment="1">
      <alignment horizontal="center" vertical="center" wrapText="1"/>
    </xf>
    <xf numFmtId="0" fontId="2" fillId="2" borderId="11"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25" borderId="14" xfId="0" applyFont="1" applyFill="1" applyBorder="1" applyAlignment="1">
      <alignment horizontal="center" wrapText="1"/>
    </xf>
    <xf numFmtId="0" fontId="2" fillId="25" borderId="20" xfId="0" applyFont="1" applyFill="1" applyBorder="1" applyAlignment="1">
      <alignment horizontal="center" wrapText="1"/>
    </xf>
    <xf numFmtId="0" fontId="2" fillId="25" borderId="63" xfId="0" applyFont="1" applyFill="1" applyBorder="1" applyAlignment="1">
      <alignment horizontal="center" wrapText="1"/>
    </xf>
    <xf numFmtId="0" fontId="2" fillId="25" borderId="55" xfId="0" applyFont="1" applyFill="1" applyBorder="1" applyAlignment="1">
      <alignment horizontal="center" wrapText="1"/>
    </xf>
    <xf numFmtId="0" fontId="2" fillId="4" borderId="14" xfId="0" applyFont="1" applyFill="1" applyBorder="1" applyAlignment="1">
      <alignment horizontal="center" wrapText="1"/>
    </xf>
    <xf numFmtId="0" fontId="2" fillId="4" borderId="20" xfId="0" applyFont="1" applyFill="1" applyBorder="1" applyAlignment="1">
      <alignment horizontal="center" wrapText="1"/>
    </xf>
    <xf numFmtId="0" fontId="6" fillId="2" borderId="67" xfId="0" applyFont="1" applyFill="1" applyBorder="1" applyAlignment="1">
      <alignment horizontal="center" wrapText="1"/>
    </xf>
    <xf numFmtId="0" fontId="6" fillId="2" borderId="39" xfId="0" applyFont="1" applyFill="1" applyBorder="1" applyAlignment="1">
      <alignment horizontal="center" wrapText="1"/>
    </xf>
    <xf numFmtId="0" fontId="6" fillId="2" borderId="10" xfId="0" applyFont="1" applyFill="1" applyBorder="1" applyAlignment="1">
      <alignment horizontal="center" wrapText="1"/>
    </xf>
    <xf numFmtId="0" fontId="6" fillId="2" borderId="61" xfId="0" applyFont="1" applyFill="1" applyBorder="1" applyAlignment="1">
      <alignment horizontal="center" wrapText="1"/>
    </xf>
    <xf numFmtId="0" fontId="21" fillId="0" borderId="0" xfId="0" applyFont="1" applyAlignment="1">
      <alignment horizontal="center" wrapText="1"/>
    </xf>
    <xf numFmtId="0" fontId="0" fillId="0" borderId="0" xfId="0" applyAlignment="1">
      <alignment horizontal="center" wrapText="1"/>
    </xf>
    <xf numFmtId="0" fontId="0" fillId="0" borderId="28" xfId="0" applyBorder="1" applyAlignment="1">
      <alignment horizontal="center" wrapText="1"/>
    </xf>
    <xf numFmtId="0" fontId="6" fillId="4" borderId="12" xfId="0" applyFont="1" applyFill="1" applyBorder="1" applyAlignment="1">
      <alignment horizontal="center" vertical="center" wrapText="1"/>
    </xf>
    <xf numFmtId="0" fontId="6" fillId="4" borderId="50" xfId="0" applyFont="1" applyFill="1" applyBorder="1" applyAlignment="1">
      <alignment horizontal="center" vertical="center" wrapText="1"/>
    </xf>
    <xf numFmtId="0" fontId="6" fillId="4" borderId="43" xfId="0" applyFont="1" applyFill="1" applyBorder="1" applyAlignment="1">
      <alignment horizontal="center" wrapText="1"/>
    </xf>
    <xf numFmtId="0" fontId="6" fillId="4" borderId="44" xfId="0" applyFont="1" applyFill="1" applyBorder="1" applyAlignment="1">
      <alignment horizontal="center" wrapText="1"/>
    </xf>
    <xf numFmtId="0" fontId="2" fillId="4" borderId="66" xfId="0" applyFont="1" applyFill="1" applyBorder="1" applyAlignment="1">
      <alignment horizontal="center" vertical="center" wrapText="1"/>
    </xf>
    <xf numFmtId="0" fontId="2" fillId="4" borderId="62" xfId="0" applyFont="1" applyFill="1" applyBorder="1" applyAlignment="1">
      <alignment horizontal="center" vertical="center" wrapText="1"/>
    </xf>
    <xf numFmtId="0" fontId="8" fillId="4" borderId="12" xfId="0" applyFont="1" applyFill="1" applyBorder="1" applyAlignment="1">
      <alignment horizontal="center" wrapText="1"/>
    </xf>
    <xf numFmtId="0" fontId="8" fillId="4" borderId="50" xfId="0" applyFont="1" applyFill="1" applyBorder="1" applyAlignment="1">
      <alignment horizontal="center" wrapText="1"/>
    </xf>
    <xf numFmtId="0" fontId="6" fillId="4" borderId="42" xfId="0" applyFont="1" applyFill="1" applyBorder="1" applyAlignment="1">
      <alignment horizontal="center" vertical="center" wrapText="1"/>
    </xf>
    <xf numFmtId="0" fontId="6" fillId="14" borderId="12" xfId="0" applyFont="1" applyFill="1" applyBorder="1" applyAlignment="1">
      <alignment horizontal="center" wrapText="1"/>
    </xf>
    <xf numFmtId="0" fontId="6" fillId="14" borderId="50" xfId="0" applyFont="1" applyFill="1" applyBorder="1" applyAlignment="1">
      <alignment horizontal="center" wrapText="1"/>
    </xf>
    <xf numFmtId="0" fontId="6" fillId="14" borderId="66" xfId="0" applyFont="1" applyFill="1" applyBorder="1" applyAlignment="1">
      <alignment horizontal="center" wrapText="1"/>
    </xf>
    <xf numFmtId="0" fontId="6" fillId="14" borderId="62" xfId="0" applyFont="1" applyFill="1" applyBorder="1" applyAlignment="1">
      <alignment horizontal="center" wrapText="1"/>
    </xf>
    <xf numFmtId="0" fontId="6" fillId="3" borderId="12" xfId="0" applyFont="1" applyFill="1" applyBorder="1" applyAlignment="1">
      <alignment horizontal="center" vertical="center" wrapText="1"/>
    </xf>
    <xf numFmtId="0" fontId="6" fillId="3" borderId="50" xfId="0" applyFont="1" applyFill="1" applyBorder="1" applyAlignment="1">
      <alignment horizontal="center" vertical="center" wrapText="1"/>
    </xf>
    <xf numFmtId="0" fontId="8" fillId="0" borderId="0" xfId="0" applyFont="1" applyFill="1" applyAlignment="1">
      <alignment horizontal="left" vertical="top" wrapText="1"/>
    </xf>
    <xf numFmtId="0" fontId="2" fillId="0" borderId="1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6" fillId="3" borderId="43" xfId="0" applyFont="1" applyFill="1" applyBorder="1" applyAlignment="1">
      <alignment horizontal="center" vertical="center" wrapText="1"/>
    </xf>
    <xf numFmtId="0" fontId="6" fillId="3" borderId="44"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2" fillId="0" borderId="0" xfId="0" applyFont="1" applyAlignment="1">
      <alignment horizontal="center" wrapText="1"/>
    </xf>
    <xf numFmtId="0" fontId="0" fillId="7" borderId="0" xfId="0" applyFill="1" applyAlignment="1">
      <alignment horizontal="center" wrapText="1"/>
    </xf>
    <xf numFmtId="0" fontId="2" fillId="8" borderId="14" xfId="0" applyFont="1" applyFill="1" applyBorder="1" applyAlignment="1">
      <alignment horizontal="center" vertical="center" wrapText="1"/>
    </xf>
    <xf numFmtId="0" fontId="2" fillId="8" borderId="20" xfId="0" applyFont="1" applyFill="1" applyBorder="1" applyAlignment="1">
      <alignment horizontal="center" vertical="center" wrapText="1"/>
    </xf>
    <xf numFmtId="0" fontId="2" fillId="16" borderId="63" xfId="0" applyFont="1" applyFill="1" applyBorder="1" applyAlignment="1">
      <alignment horizontal="center" vertical="center" wrapText="1"/>
    </xf>
    <xf numFmtId="0" fontId="2" fillId="16" borderId="55" xfId="0" applyFont="1" applyFill="1" applyBorder="1" applyAlignment="1">
      <alignment horizontal="center" vertical="center" wrapText="1"/>
    </xf>
    <xf numFmtId="0" fontId="2" fillId="30" borderId="14" xfId="0" applyFont="1" applyFill="1" applyBorder="1" applyAlignment="1">
      <alignment horizontal="center" vertical="center" wrapText="1"/>
    </xf>
    <xf numFmtId="0" fontId="2" fillId="30" borderId="20" xfId="0" applyFont="1" applyFill="1" applyBorder="1" applyAlignment="1">
      <alignment horizontal="center" vertical="center" wrapText="1"/>
    </xf>
    <xf numFmtId="0" fontId="6" fillId="2" borderId="43" xfId="0" applyFont="1" applyFill="1" applyBorder="1" applyAlignment="1">
      <alignment horizontal="center" wrapText="1"/>
    </xf>
    <xf numFmtId="0" fontId="6" fillId="2" borderId="44" xfId="0" applyFont="1" applyFill="1" applyBorder="1" applyAlignment="1">
      <alignment horizontal="center" wrapText="1"/>
    </xf>
    <xf numFmtId="0" fontId="6" fillId="4" borderId="53"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0" borderId="21" xfId="0" applyFont="1" applyBorder="1" applyAlignment="1">
      <alignment horizontal="center" vertical="center" textRotation="90" wrapText="1"/>
    </xf>
    <xf numFmtId="0" fontId="0" fillId="0" borderId="21" xfId="0" applyBorder="1" applyAlignment="1">
      <alignment horizontal="center" vertical="center" textRotation="90" wrapText="1"/>
    </xf>
    <xf numFmtId="0" fontId="2" fillId="0" borderId="21" xfId="0" applyFont="1" applyBorder="1" applyAlignment="1">
      <alignment horizontal="center" vertical="center" textRotation="90"/>
    </xf>
    <xf numFmtId="0" fontId="0" fillId="0" borderId="21" xfId="0" applyBorder="1" applyAlignment="1">
      <alignment horizontal="center" vertical="center" textRotation="90"/>
    </xf>
    <xf numFmtId="0" fontId="2" fillId="0" borderId="21" xfId="0" applyFont="1" applyBorder="1" applyAlignment="1">
      <alignment horizontal="center" vertical="center" textRotation="89"/>
    </xf>
    <xf numFmtId="0" fontId="0" fillId="0" borderId="21" xfId="0" applyBorder="1" applyAlignment="1">
      <alignment horizontal="center" vertical="center" textRotation="89"/>
    </xf>
    <xf numFmtId="0" fontId="2" fillId="0" borderId="29" xfId="0" applyFont="1" applyBorder="1" applyAlignment="1">
      <alignment horizontal="center" vertical="center" textRotation="90" wrapText="1"/>
    </xf>
    <xf numFmtId="0" fontId="0" fillId="0" borderId="29" xfId="0" applyBorder="1" applyAlignment="1">
      <alignment horizontal="center" vertical="center" textRotation="90" wrapText="1"/>
    </xf>
    <xf numFmtId="0" fontId="2" fillId="0" borderId="29" xfId="0" applyFont="1" applyBorder="1" applyAlignment="1">
      <alignment horizontal="center" vertical="center" textRotation="90"/>
    </xf>
    <xf numFmtId="0" fontId="0" fillId="0" borderId="29" xfId="0" applyBorder="1" applyAlignment="1">
      <alignment horizontal="center" vertical="center" textRotation="90"/>
    </xf>
    <xf numFmtId="0" fontId="2" fillId="0" borderId="29" xfId="0" applyFont="1" applyBorder="1" applyAlignment="1">
      <alignment horizontal="center" vertical="center" textRotation="89"/>
    </xf>
    <xf numFmtId="0" fontId="0" fillId="0" borderId="29" xfId="0" applyBorder="1" applyAlignment="1">
      <alignment horizontal="center" vertical="center" textRotation="89"/>
    </xf>
    <xf numFmtId="0" fontId="8" fillId="0" borderId="0" xfId="0" applyFont="1" applyFill="1" applyBorder="1" applyAlignment="1">
      <alignment horizontal="center" wrapText="1"/>
    </xf>
    <xf numFmtId="0" fontId="2" fillId="0" borderId="0" xfId="0" applyFont="1" applyBorder="1" applyAlignment="1">
      <alignment horizontal="center" vertical="center" wrapText="1"/>
    </xf>
    <xf numFmtId="165" fontId="0" fillId="14" borderId="0" xfId="0" applyNumberFormat="1" applyFill="1" applyBorder="1"/>
    <xf numFmtId="0" fontId="2" fillId="13" borderId="0" xfId="0" applyFont="1" applyFill="1" applyBorder="1"/>
    <xf numFmtId="2" fontId="0" fillId="13" borderId="0" xfId="0" applyNumberFormat="1" applyFill="1" applyBorder="1"/>
    <xf numFmtId="165" fontId="2" fillId="11" borderId="0" xfId="0" applyNumberFormat="1" applyFont="1" applyFill="1" applyBorder="1"/>
    <xf numFmtId="9" fontId="0" fillId="14" borderId="0" xfId="3" applyFont="1" applyFill="1" applyBorder="1"/>
    <xf numFmtId="9" fontId="0" fillId="19" borderId="0" xfId="3" applyFont="1" applyFill="1" applyBorder="1"/>
    <xf numFmtId="9" fontId="0" fillId="0" borderId="0" xfId="3" applyFont="1" applyBorder="1"/>
    <xf numFmtId="9" fontId="0" fillId="11" borderId="0" xfId="3" applyFont="1" applyFill="1" applyBorder="1"/>
    <xf numFmtId="9" fontId="0" fillId="22" borderId="0" xfId="3" applyFont="1" applyFill="1" applyBorder="1"/>
    <xf numFmtId="9" fontId="6" fillId="26" borderId="0" xfId="3" applyFont="1" applyFill="1" applyBorder="1"/>
    <xf numFmtId="9" fontId="6" fillId="26" borderId="0" xfId="3" applyFont="1" applyFill="1" applyBorder="1" applyAlignment="1">
      <alignment horizontal="right" vertical="center"/>
    </xf>
    <xf numFmtId="9" fontId="0" fillId="27" borderId="0" xfId="3" applyFont="1" applyFill="1" applyBorder="1"/>
  </cellXfs>
  <cellStyles count="4">
    <cellStyle name="Milliers" xfId="2" builtinId="3"/>
    <cellStyle name="Normal" xfId="0" builtinId="0"/>
    <cellStyle name="Normal 2" xfId="1"/>
    <cellStyle name="Pourcentage" xfId="3" builtinId="5"/>
  </cellStyles>
  <dxfs count="0"/>
  <tableStyles count="0" defaultTableStyle="TableStyleMedium9" defaultPivotStyle="PivotStyleLight16"/>
  <colors>
    <mruColors>
      <color rgb="FF99CCFF"/>
      <color rgb="FF99CC00"/>
      <color rgb="FFFFFF99"/>
      <color rgb="FFFF0066"/>
      <color rgb="FF00CC00"/>
      <color rgb="FF336600"/>
      <color rgb="FFCCFFCC"/>
      <color rgb="FFCCFF99"/>
      <color rgb="FFE6005D"/>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Bilan Carbone</a:t>
            </a:r>
            <a:r>
              <a:rPr lang="fr-FR" baseline="0"/>
              <a:t> EMSE (périmètre équivalent)</a:t>
            </a:r>
            <a:endParaRPr lang="fr-FR"/>
          </a:p>
        </c:rich>
      </c:tx>
      <c:layout/>
      <c:overlay val="0"/>
    </c:title>
    <c:autoTitleDeleted val="0"/>
    <c:plotArea>
      <c:layout/>
      <c:barChart>
        <c:barDir val="col"/>
        <c:grouping val="clustered"/>
        <c:varyColors val="0"/>
        <c:ser>
          <c:idx val="0"/>
          <c:order val="0"/>
          <c:tx>
            <c:strRef>
              <c:f>Resultats_2010_2014_2017!$D$39</c:f>
              <c:strCache>
                <c:ptCount val="1"/>
                <c:pt idx="0">
                  <c:v>2010</c:v>
                </c:pt>
              </c:strCache>
            </c:strRef>
          </c:tx>
          <c:invertIfNegative val="0"/>
          <c:cat>
            <c:strRef>
              <c:f>Resultats_2010_2014_2017!$C$40:$C$42</c:f>
              <c:strCache>
                <c:ptCount val="3"/>
                <c:pt idx="0">
                  <c:v>Emissions directes</c:v>
                </c:pt>
                <c:pt idx="1">
                  <c:v>Emissions indirectes associées à l’énergie</c:v>
                </c:pt>
                <c:pt idx="2">
                  <c:v>Autres émissions indirectes (périmètre constant sur 2017 - 2017)*</c:v>
                </c:pt>
              </c:strCache>
            </c:strRef>
          </c:cat>
          <c:val>
            <c:numRef>
              <c:f>Resultats_2010_2014_2017!$D$40:$D$42</c:f>
              <c:numCache>
                <c:formatCode>0</c:formatCode>
                <c:ptCount val="3"/>
                <c:pt idx="0">
                  <c:v>1258.5341551499998</c:v>
                </c:pt>
                <c:pt idx="1">
                  <c:v>339.91779064999992</c:v>
                </c:pt>
                <c:pt idx="2">
                  <c:v>0</c:v>
                </c:pt>
              </c:numCache>
            </c:numRef>
          </c:val>
          <c:extLst>
            <c:ext xmlns:c16="http://schemas.microsoft.com/office/drawing/2014/chart" uri="{C3380CC4-5D6E-409C-BE32-E72D297353CC}">
              <c16:uniqueId val="{00000000-1476-44D3-BF8A-BC5398F29392}"/>
            </c:ext>
          </c:extLst>
        </c:ser>
        <c:ser>
          <c:idx val="1"/>
          <c:order val="1"/>
          <c:tx>
            <c:strRef>
              <c:f>Resultats_2010_2014_2017!$F$39</c:f>
              <c:strCache>
                <c:ptCount val="1"/>
                <c:pt idx="0">
                  <c:v>2014</c:v>
                </c:pt>
              </c:strCache>
            </c:strRef>
          </c:tx>
          <c:invertIfNegative val="0"/>
          <c:cat>
            <c:strRef>
              <c:f>Resultats_2010_2014_2017!$C$40:$C$42</c:f>
              <c:strCache>
                <c:ptCount val="3"/>
                <c:pt idx="0">
                  <c:v>Emissions directes</c:v>
                </c:pt>
                <c:pt idx="1">
                  <c:v>Emissions indirectes associées à l’énergie</c:v>
                </c:pt>
                <c:pt idx="2">
                  <c:v>Autres émissions indirectes (périmètre constant sur 2017 - 2017)*</c:v>
                </c:pt>
              </c:strCache>
            </c:strRef>
          </c:cat>
          <c:val>
            <c:numRef>
              <c:f>Resultats_2010_2014_2017!$F$40:$F$42</c:f>
              <c:numCache>
                <c:formatCode>0</c:formatCode>
                <c:ptCount val="3"/>
                <c:pt idx="0">
                  <c:v>904.97335324999995</c:v>
                </c:pt>
                <c:pt idx="1">
                  <c:v>330.92269429999993</c:v>
                </c:pt>
                <c:pt idx="2">
                  <c:v>685.20886226300001</c:v>
                </c:pt>
              </c:numCache>
            </c:numRef>
          </c:val>
          <c:extLst>
            <c:ext xmlns:c16="http://schemas.microsoft.com/office/drawing/2014/chart" uri="{C3380CC4-5D6E-409C-BE32-E72D297353CC}">
              <c16:uniqueId val="{00000001-1476-44D3-BF8A-BC5398F29392}"/>
            </c:ext>
          </c:extLst>
        </c:ser>
        <c:ser>
          <c:idx val="2"/>
          <c:order val="2"/>
          <c:tx>
            <c:strRef>
              <c:f>Resultats_2010_2014_2017!$H$39</c:f>
              <c:strCache>
                <c:ptCount val="1"/>
                <c:pt idx="0">
                  <c:v>2017</c:v>
                </c:pt>
              </c:strCache>
            </c:strRef>
          </c:tx>
          <c:invertIfNegative val="0"/>
          <c:val>
            <c:numRef>
              <c:f>Resultats_2010_2014_2017!$H$40:$H$42</c:f>
              <c:numCache>
                <c:formatCode>0</c:formatCode>
                <c:ptCount val="3"/>
                <c:pt idx="0">
                  <c:v>1080.3486287000001</c:v>
                </c:pt>
                <c:pt idx="1">
                  <c:v>369.61059719999997</c:v>
                </c:pt>
                <c:pt idx="2">
                  <c:v>1644.3706617789371</c:v>
                </c:pt>
              </c:numCache>
            </c:numRef>
          </c:val>
          <c:extLst>
            <c:ext xmlns:c16="http://schemas.microsoft.com/office/drawing/2014/chart" uri="{C3380CC4-5D6E-409C-BE32-E72D297353CC}">
              <c16:uniqueId val="{00000000-E17C-4BF2-92DA-4435A7B626CF}"/>
            </c:ext>
          </c:extLst>
        </c:ser>
        <c:ser>
          <c:idx val="3"/>
          <c:order val="3"/>
          <c:tx>
            <c:strRef>
              <c:f>Resultats_2010_2014_2017!$K$39</c:f>
              <c:strCache>
                <c:ptCount val="1"/>
                <c:pt idx="0">
                  <c:v>Projections 2030</c:v>
                </c:pt>
              </c:strCache>
            </c:strRef>
          </c:tx>
          <c:spPr>
            <a:pattFill prst="ltDnDiag">
              <a:fgClr>
                <a:schemeClr val="accent1"/>
              </a:fgClr>
              <a:bgClr>
                <a:schemeClr val="bg1"/>
              </a:bgClr>
            </a:pattFill>
          </c:spPr>
          <c:invertIfNegative val="0"/>
          <c:val>
            <c:numRef>
              <c:f>Resultats_2010_2014_2017!$K$40:$K$42</c:f>
              <c:numCache>
                <c:formatCode>0</c:formatCode>
                <c:ptCount val="3"/>
                <c:pt idx="0">
                  <c:v>897.55148850000012</c:v>
                </c:pt>
                <c:pt idx="1">
                  <c:v>307.82099451999994</c:v>
                </c:pt>
                <c:pt idx="2">
                  <c:v>1436.3146267967563</c:v>
                </c:pt>
              </c:numCache>
            </c:numRef>
          </c:val>
          <c:extLst>
            <c:ext xmlns:c16="http://schemas.microsoft.com/office/drawing/2014/chart" uri="{C3380CC4-5D6E-409C-BE32-E72D297353CC}">
              <c16:uniqueId val="{00000000-FA93-47A4-A431-5394482769E6}"/>
            </c:ext>
          </c:extLst>
        </c:ser>
        <c:dLbls>
          <c:showLegendKey val="0"/>
          <c:showVal val="0"/>
          <c:showCatName val="0"/>
          <c:showSerName val="0"/>
          <c:showPercent val="0"/>
          <c:showBubbleSize val="0"/>
        </c:dLbls>
        <c:gapWidth val="150"/>
        <c:axId val="127642624"/>
        <c:axId val="127839616"/>
      </c:barChart>
      <c:catAx>
        <c:axId val="127642624"/>
        <c:scaling>
          <c:orientation val="minMax"/>
        </c:scaling>
        <c:delete val="0"/>
        <c:axPos val="b"/>
        <c:numFmt formatCode="General" sourceLinked="0"/>
        <c:majorTickMark val="none"/>
        <c:minorTickMark val="none"/>
        <c:tickLblPos val="nextTo"/>
        <c:crossAx val="127839616"/>
        <c:crosses val="autoZero"/>
        <c:auto val="1"/>
        <c:lblAlgn val="ctr"/>
        <c:lblOffset val="100"/>
        <c:noMultiLvlLbl val="0"/>
      </c:catAx>
      <c:valAx>
        <c:axId val="127839616"/>
        <c:scaling>
          <c:orientation val="minMax"/>
        </c:scaling>
        <c:delete val="0"/>
        <c:axPos val="l"/>
        <c:majorGridlines/>
        <c:title>
          <c:tx>
            <c:rich>
              <a:bodyPr/>
              <a:lstStyle/>
              <a:p>
                <a:pPr>
                  <a:defRPr/>
                </a:pPr>
                <a:r>
                  <a:rPr lang="fr-FR"/>
                  <a:t>tonnes CO2e</a:t>
                </a:r>
              </a:p>
            </c:rich>
          </c:tx>
          <c:layout/>
          <c:overlay val="0"/>
        </c:title>
        <c:numFmt formatCode="0" sourceLinked="1"/>
        <c:majorTickMark val="out"/>
        <c:minorTickMark val="none"/>
        <c:tickLblPos val="nextTo"/>
        <c:crossAx val="127642624"/>
        <c:crosses val="autoZero"/>
        <c:crossBetween val="between"/>
      </c:valAx>
    </c:plotArea>
    <c:legend>
      <c:legendPos val="r"/>
      <c:layout/>
      <c:overlay val="0"/>
    </c:legend>
    <c:plotVisOnly val="1"/>
    <c:dispBlanksAs val="gap"/>
    <c:showDLblsOverMax val="0"/>
  </c:chart>
  <c:printSettings>
    <c:headerFooter/>
    <c:pageMargins b="0.75000000000000211" l="0.70000000000000062" r="0.70000000000000062" t="0.750000000000002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fr-FR" sz="1200"/>
              <a:t>Emissions directes de l'EMSE</a:t>
            </a:r>
          </a:p>
        </c:rich>
      </c:tx>
      <c:layout/>
      <c:overlay val="0"/>
    </c:title>
    <c:autoTitleDeleted val="0"/>
    <c:plotArea>
      <c:layout/>
      <c:barChart>
        <c:barDir val="col"/>
        <c:grouping val="clustered"/>
        <c:varyColors val="0"/>
        <c:ser>
          <c:idx val="0"/>
          <c:order val="0"/>
          <c:tx>
            <c:strRef>
              <c:f>Resultats_2010_2014_2017!$D$4</c:f>
              <c:strCache>
                <c:ptCount val="1"/>
                <c:pt idx="0">
                  <c:v>2010</c:v>
                </c:pt>
              </c:strCache>
            </c:strRef>
          </c:tx>
          <c:invertIfNegative val="0"/>
          <c:errBars>
            <c:errBarType val="both"/>
            <c:errValType val="cust"/>
            <c:noEndCap val="0"/>
            <c:plus>
              <c:numRef>
                <c:f>Resultats_2010_2014_2017!$E$5:$E$11</c:f>
                <c:numCache>
                  <c:formatCode>General</c:formatCode>
                  <c:ptCount val="7"/>
                  <c:pt idx="0">
                    <c:v>29.740470500000001</c:v>
                  </c:pt>
                  <c:pt idx="1">
                    <c:v>24.655764000000001</c:v>
                  </c:pt>
                  <c:pt idx="2">
                    <c:v>2.5165259999999998</c:v>
                  </c:pt>
                  <c:pt idx="3">
                    <c:v>0.16806564000000002</c:v>
                  </c:pt>
                  <c:pt idx="4">
                    <c:v>19.182164125</c:v>
                  </c:pt>
                  <c:pt idx="5">
                    <c:v>19.687035000000002</c:v>
                  </c:pt>
                </c:numCache>
              </c:numRef>
            </c:plus>
            <c:minus>
              <c:numRef>
                <c:f>Resultats_2010_2014_2017!$E$5:$E$11</c:f>
                <c:numCache>
                  <c:formatCode>General</c:formatCode>
                  <c:ptCount val="7"/>
                  <c:pt idx="0">
                    <c:v>29.740470500000001</c:v>
                  </c:pt>
                  <c:pt idx="1">
                    <c:v>24.655764000000001</c:v>
                  </c:pt>
                  <c:pt idx="2">
                    <c:v>2.5165259999999998</c:v>
                  </c:pt>
                  <c:pt idx="3">
                    <c:v>0.16806564000000002</c:v>
                  </c:pt>
                  <c:pt idx="4">
                    <c:v>19.182164125</c:v>
                  </c:pt>
                  <c:pt idx="5">
                    <c:v>19.687035000000002</c:v>
                  </c:pt>
                </c:numCache>
              </c:numRef>
            </c:minus>
          </c:errBars>
          <c:cat>
            <c:strRef>
              <c:f>Resultats_2010_2014_2017!$C$5:$C$11</c:f>
              <c:strCache>
                <c:ptCount val="7"/>
                <c:pt idx="0">
                  <c:v>Chaufferie Gaz (158 SE)</c:v>
                </c:pt>
                <c:pt idx="1">
                  <c:v>Gaz (Gardanne)</c:v>
                </c:pt>
                <c:pt idx="2">
                  <c:v>Carburant (gazole)</c:v>
                </c:pt>
                <c:pt idx="3">
                  <c:v>Carburant (SP)</c:v>
                </c:pt>
                <c:pt idx="4">
                  <c:v>Emissions directes des procédés hors énergie Saint-Etienne</c:v>
                </c:pt>
                <c:pt idx="5">
                  <c:v>Emissions directes des procédés hors énergie Gardanne</c:v>
                </c:pt>
                <c:pt idx="6">
                  <c:v>Emissions directes fugitives</c:v>
                </c:pt>
              </c:strCache>
            </c:strRef>
          </c:cat>
          <c:val>
            <c:numRef>
              <c:f>Resultats_2010_2014_2017!$D$5:$D$11</c:f>
              <c:numCache>
                <c:formatCode>0</c:formatCode>
                <c:ptCount val="7"/>
                <c:pt idx="0">
                  <c:v>594.80940999999996</c:v>
                </c:pt>
                <c:pt idx="1">
                  <c:v>493.11527999999998</c:v>
                </c:pt>
                <c:pt idx="2" formatCode="0.0">
                  <c:v>50.330519999999993</c:v>
                </c:pt>
                <c:pt idx="3" formatCode="0.00">
                  <c:v>1.6806563999999999</c:v>
                </c:pt>
                <c:pt idx="4" formatCode="0.0">
                  <c:v>63.363238750000001</c:v>
                </c:pt>
                <c:pt idx="5" formatCode="0.0">
                  <c:v>55.235050000000001</c:v>
                </c:pt>
              </c:numCache>
            </c:numRef>
          </c:val>
          <c:extLst>
            <c:ext xmlns:c16="http://schemas.microsoft.com/office/drawing/2014/chart" uri="{C3380CC4-5D6E-409C-BE32-E72D297353CC}">
              <c16:uniqueId val="{00000000-E009-4A4E-9240-480FBFF8AEAD}"/>
            </c:ext>
          </c:extLst>
        </c:ser>
        <c:ser>
          <c:idx val="1"/>
          <c:order val="1"/>
          <c:tx>
            <c:strRef>
              <c:f>Resultats_2010_2014_2017!$F$4</c:f>
              <c:strCache>
                <c:ptCount val="1"/>
                <c:pt idx="0">
                  <c:v>2014</c:v>
                </c:pt>
              </c:strCache>
            </c:strRef>
          </c:tx>
          <c:invertIfNegative val="0"/>
          <c:errBars>
            <c:errBarType val="both"/>
            <c:errValType val="cust"/>
            <c:noEndCap val="0"/>
            <c:plus>
              <c:numRef>
                <c:f>Resultats_2010_2014_2017!$G$5:$G$11</c:f>
                <c:numCache>
                  <c:formatCode>General</c:formatCode>
                  <c:ptCount val="7"/>
                  <c:pt idx="0">
                    <c:v>20.368425999999999</c:v>
                  </c:pt>
                  <c:pt idx="1">
                    <c:v>17.318136750000001</c:v>
                  </c:pt>
                  <c:pt idx="2">
                    <c:v>1.9962280999999997</c:v>
                  </c:pt>
                  <c:pt idx="3">
                    <c:v>2.2800000000000003E-3</c:v>
                  </c:pt>
                  <c:pt idx="4">
                    <c:v>17.210785874999999</c:v>
                  </c:pt>
                  <c:pt idx="5">
                    <c:v>19.381934999999999</c:v>
                  </c:pt>
                </c:numCache>
              </c:numRef>
            </c:plus>
            <c:minus>
              <c:numRef>
                <c:f>Resultats_2010_2014_2017!$G$5:$G$11</c:f>
                <c:numCache>
                  <c:formatCode>General</c:formatCode>
                  <c:ptCount val="7"/>
                  <c:pt idx="0">
                    <c:v>20.368425999999999</c:v>
                  </c:pt>
                  <c:pt idx="1">
                    <c:v>17.318136750000001</c:v>
                  </c:pt>
                  <c:pt idx="2">
                    <c:v>1.9962280999999997</c:v>
                  </c:pt>
                  <c:pt idx="3">
                    <c:v>2.2800000000000003E-3</c:v>
                  </c:pt>
                  <c:pt idx="4">
                    <c:v>17.210785874999999</c:v>
                  </c:pt>
                  <c:pt idx="5">
                    <c:v>19.381934999999999</c:v>
                  </c:pt>
                </c:numCache>
              </c:numRef>
            </c:minus>
          </c:errBars>
          <c:cat>
            <c:strRef>
              <c:f>Resultats_2010_2014_2017!$C$5:$C$11</c:f>
              <c:strCache>
                <c:ptCount val="7"/>
                <c:pt idx="0">
                  <c:v>Chaufferie Gaz (158 SE)</c:v>
                </c:pt>
                <c:pt idx="1">
                  <c:v>Gaz (Gardanne)</c:v>
                </c:pt>
                <c:pt idx="2">
                  <c:v>Carburant (gazole)</c:v>
                </c:pt>
                <c:pt idx="3">
                  <c:v>Carburant (SP)</c:v>
                </c:pt>
                <c:pt idx="4">
                  <c:v>Emissions directes des procédés hors énergie Saint-Etienne</c:v>
                </c:pt>
                <c:pt idx="5">
                  <c:v>Emissions directes des procédés hors énergie Gardanne</c:v>
                </c:pt>
                <c:pt idx="6">
                  <c:v>Emissions directes fugitives</c:v>
                </c:pt>
              </c:strCache>
            </c:strRef>
          </c:cat>
          <c:val>
            <c:numRef>
              <c:f>Resultats_2010_2014_2017!$F$5:$F$11</c:f>
              <c:numCache>
                <c:formatCode>0</c:formatCode>
                <c:ptCount val="7"/>
                <c:pt idx="0">
                  <c:v>407.36851999999999</c:v>
                </c:pt>
                <c:pt idx="1">
                  <c:v>346.36273499999999</c:v>
                </c:pt>
                <c:pt idx="2" formatCode="0.0">
                  <c:v>39.924561999999995</c:v>
                </c:pt>
                <c:pt idx="3" formatCode="0.00">
                  <c:v>2.2800000000000001E-2</c:v>
                </c:pt>
                <c:pt idx="4" formatCode="0.0">
                  <c:v>56.780286250000003</c:v>
                </c:pt>
                <c:pt idx="5" formatCode="0.0">
                  <c:v>54.514450000000004</c:v>
                </c:pt>
              </c:numCache>
            </c:numRef>
          </c:val>
          <c:extLst>
            <c:ext xmlns:c16="http://schemas.microsoft.com/office/drawing/2014/chart" uri="{C3380CC4-5D6E-409C-BE32-E72D297353CC}">
              <c16:uniqueId val="{00000001-E009-4A4E-9240-480FBFF8AEAD}"/>
            </c:ext>
          </c:extLst>
        </c:ser>
        <c:ser>
          <c:idx val="2"/>
          <c:order val="2"/>
          <c:tx>
            <c:v>2017</c:v>
          </c:tx>
          <c:invertIfNegative val="0"/>
          <c:errBars>
            <c:errBarType val="both"/>
            <c:errValType val="cust"/>
            <c:noEndCap val="0"/>
            <c:plus>
              <c:numRef>
                <c:f>Resultats_2010_2014_2017!$I$5:$I$11</c:f>
                <c:numCache>
                  <c:formatCode>General</c:formatCode>
                  <c:ptCount val="7"/>
                  <c:pt idx="0">
                    <c:v>26.196462500000003</c:v>
                  </c:pt>
                  <c:pt idx="1">
                    <c:v>22.795515000000002</c:v>
                  </c:pt>
                  <c:pt idx="2">
                    <c:v>1.6011478249999997</c:v>
                  </c:pt>
                  <c:pt idx="3">
                    <c:v>1.36572E-3</c:v>
                  </c:pt>
                  <c:pt idx="4">
                    <c:v>17.425884625000002</c:v>
                  </c:pt>
                  <c:pt idx="5">
                    <c:v>5.4061349999999999</c:v>
                  </c:pt>
                </c:numCache>
              </c:numRef>
            </c:plus>
            <c:minus>
              <c:numRef>
                <c:f>Resultats_2010_2014_2017!$I$5:$I$11</c:f>
                <c:numCache>
                  <c:formatCode>General</c:formatCode>
                  <c:ptCount val="7"/>
                  <c:pt idx="0">
                    <c:v>26.196462500000003</c:v>
                  </c:pt>
                  <c:pt idx="1">
                    <c:v>22.795515000000002</c:v>
                  </c:pt>
                  <c:pt idx="2">
                    <c:v>1.6011478249999997</c:v>
                  </c:pt>
                  <c:pt idx="3">
                    <c:v>1.36572E-3</c:v>
                  </c:pt>
                  <c:pt idx="4">
                    <c:v>17.425884625000002</c:v>
                  </c:pt>
                  <c:pt idx="5">
                    <c:v>5.4061349999999999</c:v>
                  </c:pt>
                </c:numCache>
              </c:numRef>
            </c:minus>
          </c:errBars>
          <c:val>
            <c:numRef>
              <c:f>Resultats_2010_2014_2017!$H$5:$H$11</c:f>
              <c:numCache>
                <c:formatCode>0</c:formatCode>
                <c:ptCount val="7"/>
                <c:pt idx="0">
                  <c:v>523.92925000000002</c:v>
                </c:pt>
                <c:pt idx="1">
                  <c:v>455.91030000000001</c:v>
                </c:pt>
                <c:pt idx="2" formatCode="0.0">
                  <c:v>32.022956499999992</c:v>
                </c:pt>
                <c:pt idx="3" formatCode="0.000">
                  <c:v>1.36572E-2</c:v>
                </c:pt>
                <c:pt idx="4" formatCode="0.00">
                  <c:v>57.315415000000002</c:v>
                </c:pt>
                <c:pt idx="5" formatCode="0.00">
                  <c:v>11.15705</c:v>
                </c:pt>
              </c:numCache>
            </c:numRef>
          </c:val>
          <c:extLst>
            <c:ext xmlns:c16="http://schemas.microsoft.com/office/drawing/2014/chart" uri="{C3380CC4-5D6E-409C-BE32-E72D297353CC}">
              <c16:uniqueId val="{00000000-CAA2-45EA-A8E9-FBE8106180FB}"/>
            </c:ext>
          </c:extLst>
        </c:ser>
        <c:dLbls>
          <c:showLegendKey val="0"/>
          <c:showVal val="0"/>
          <c:showCatName val="0"/>
          <c:showSerName val="0"/>
          <c:showPercent val="0"/>
          <c:showBubbleSize val="0"/>
        </c:dLbls>
        <c:gapWidth val="150"/>
        <c:axId val="131080192"/>
        <c:axId val="127841920"/>
      </c:barChart>
      <c:catAx>
        <c:axId val="131080192"/>
        <c:scaling>
          <c:orientation val="minMax"/>
        </c:scaling>
        <c:delete val="0"/>
        <c:axPos val="b"/>
        <c:numFmt formatCode="General" sourceLinked="0"/>
        <c:majorTickMark val="none"/>
        <c:minorTickMark val="none"/>
        <c:tickLblPos val="nextTo"/>
        <c:txPr>
          <a:bodyPr/>
          <a:lstStyle/>
          <a:p>
            <a:pPr>
              <a:defRPr sz="800"/>
            </a:pPr>
            <a:endParaRPr lang="fr-FR"/>
          </a:p>
        </c:txPr>
        <c:crossAx val="127841920"/>
        <c:crosses val="autoZero"/>
        <c:auto val="1"/>
        <c:lblAlgn val="ctr"/>
        <c:lblOffset val="100"/>
        <c:noMultiLvlLbl val="0"/>
      </c:catAx>
      <c:valAx>
        <c:axId val="127841920"/>
        <c:scaling>
          <c:orientation val="minMax"/>
        </c:scaling>
        <c:delete val="0"/>
        <c:axPos val="l"/>
        <c:majorGridlines/>
        <c:title>
          <c:tx>
            <c:rich>
              <a:bodyPr/>
              <a:lstStyle/>
              <a:p>
                <a:pPr>
                  <a:defRPr/>
                </a:pPr>
                <a:r>
                  <a:rPr lang="fr-FR"/>
                  <a:t>Tonnes CO2e</a:t>
                </a:r>
              </a:p>
            </c:rich>
          </c:tx>
          <c:layout/>
          <c:overlay val="0"/>
        </c:title>
        <c:numFmt formatCode="0" sourceLinked="1"/>
        <c:majorTickMark val="out"/>
        <c:minorTickMark val="none"/>
        <c:tickLblPos val="nextTo"/>
        <c:crossAx val="131080192"/>
        <c:crosses val="autoZero"/>
        <c:crossBetween val="between"/>
      </c:valAx>
    </c:plotArea>
    <c:legend>
      <c:legendPos val="r"/>
      <c:layout>
        <c:manualLayout>
          <c:xMode val="edge"/>
          <c:yMode val="edge"/>
          <c:x val="0.86210016957756819"/>
          <c:y val="0.18719500971469491"/>
          <c:w val="0.10223453549787757"/>
          <c:h val="0.24076157873511925"/>
        </c:manualLayout>
      </c:layout>
      <c:overlay val="0"/>
    </c:legend>
    <c:plotVisOnly val="1"/>
    <c:dispBlanksAs val="gap"/>
    <c:showDLblsOverMax val="0"/>
  </c:chart>
  <c:printSettings>
    <c:headerFooter/>
    <c:pageMargins b="0.75000000000000211" l="0.70000000000000062" r="0.70000000000000062" t="0.750000000000002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fr-FR" sz="1200"/>
              <a:t>Emissions indirectes associées à l’énergie</a:t>
            </a:r>
          </a:p>
        </c:rich>
      </c:tx>
      <c:layout/>
      <c:overlay val="0"/>
    </c:title>
    <c:autoTitleDeleted val="0"/>
    <c:plotArea>
      <c:layout/>
      <c:barChart>
        <c:barDir val="col"/>
        <c:grouping val="clustered"/>
        <c:varyColors val="0"/>
        <c:ser>
          <c:idx val="0"/>
          <c:order val="0"/>
          <c:tx>
            <c:strRef>
              <c:f>Resultats_2010_2014_2017!$D$4</c:f>
              <c:strCache>
                <c:ptCount val="1"/>
                <c:pt idx="0">
                  <c:v>2010</c:v>
                </c:pt>
              </c:strCache>
            </c:strRef>
          </c:tx>
          <c:invertIfNegative val="0"/>
          <c:errBars>
            <c:errBarType val="both"/>
            <c:errValType val="cust"/>
            <c:noEndCap val="0"/>
            <c:plus>
              <c:numRef>
                <c:f>Resultats_2010_2014_2017!$E$13:$E$19</c:f>
                <c:numCache>
                  <c:formatCode>General</c:formatCode>
                  <c:ptCount val="7"/>
                  <c:pt idx="0">
                    <c:v>12.688472279999999</c:v>
                  </c:pt>
                  <c:pt idx="1">
                    <c:v>1.7071127349999999</c:v>
                  </c:pt>
                  <c:pt idx="2">
                    <c:v>10.874414849999999</c:v>
                  </c:pt>
                  <c:pt idx="3">
                    <c:v>0.10256890999999997</c:v>
                  </c:pt>
                  <c:pt idx="4">
                    <c:v>15.868820189999997</c:v>
                  </c:pt>
                  <c:pt idx="5">
                    <c:v>0</c:v>
                  </c:pt>
                </c:numCache>
              </c:numRef>
            </c:plus>
            <c:minus>
              <c:numRef>
                <c:f>Resultats_2010_2014_2017!$E$13:$E$19</c:f>
                <c:numCache>
                  <c:formatCode>General</c:formatCode>
                  <c:ptCount val="7"/>
                  <c:pt idx="0">
                    <c:v>12.688472279999999</c:v>
                  </c:pt>
                  <c:pt idx="1">
                    <c:v>1.7071127349999999</c:v>
                  </c:pt>
                  <c:pt idx="2">
                    <c:v>10.874414849999999</c:v>
                  </c:pt>
                  <c:pt idx="3">
                    <c:v>0.10256890999999997</c:v>
                  </c:pt>
                  <c:pt idx="4">
                    <c:v>15.868820189999997</c:v>
                  </c:pt>
                  <c:pt idx="5">
                    <c:v>0</c:v>
                  </c:pt>
                </c:numCache>
              </c:numRef>
            </c:minus>
          </c:errBars>
          <c:cat>
            <c:strRef>
              <c:f>Resultats_2010_2014_2017!$C$13:$C$19</c:f>
              <c:strCache>
                <c:ptCount val="7"/>
                <c:pt idx="0">
                  <c:v>Electricité (158 SE)</c:v>
                </c:pt>
                <c:pt idx="1">
                  <c:v>Electricité spécifique (EF)</c:v>
                </c:pt>
                <c:pt idx="2">
                  <c:v>Electricité (EF chauffage)</c:v>
                </c:pt>
                <c:pt idx="3">
                  <c:v>Electricité (MD SE)</c:v>
                </c:pt>
                <c:pt idx="4">
                  <c:v>Electricité (Gardanne)</c:v>
                </c:pt>
                <c:pt idx="5">
                  <c:v>Electricité (CIS SE)</c:v>
                </c:pt>
                <c:pt idx="6">
                  <c:v>Emissions indirectes liées à la consommation de chaleur, vapeur ou froid</c:v>
                </c:pt>
              </c:strCache>
            </c:strRef>
          </c:cat>
          <c:val>
            <c:numRef>
              <c:f>Resultats_2010_2014_2017!$D$13:$D$19</c:f>
              <c:numCache>
                <c:formatCode>0.0</c:formatCode>
                <c:ptCount val="7"/>
                <c:pt idx="0" formatCode="0">
                  <c:v>126.88472279999998</c:v>
                </c:pt>
                <c:pt idx="1">
                  <c:v>17.071127349999998</c:v>
                </c:pt>
                <c:pt idx="2">
                  <c:v>36.2480495</c:v>
                </c:pt>
                <c:pt idx="3" formatCode="0.00">
                  <c:v>1.0256890999999997</c:v>
                </c:pt>
                <c:pt idx="4" formatCode="0">
                  <c:v>158.68820189999997</c:v>
                </c:pt>
                <c:pt idx="5" formatCode="0">
                  <c:v>0</c:v>
                </c:pt>
              </c:numCache>
            </c:numRef>
          </c:val>
          <c:extLst>
            <c:ext xmlns:c16="http://schemas.microsoft.com/office/drawing/2014/chart" uri="{C3380CC4-5D6E-409C-BE32-E72D297353CC}">
              <c16:uniqueId val="{00000000-56CF-49A8-ABE4-C9D5498BEF5D}"/>
            </c:ext>
          </c:extLst>
        </c:ser>
        <c:ser>
          <c:idx val="1"/>
          <c:order val="1"/>
          <c:tx>
            <c:strRef>
              <c:f>Resultats_2010_2014_2017!$F$4</c:f>
              <c:strCache>
                <c:ptCount val="1"/>
                <c:pt idx="0">
                  <c:v>2014</c:v>
                </c:pt>
              </c:strCache>
            </c:strRef>
          </c:tx>
          <c:invertIfNegative val="0"/>
          <c:errBars>
            <c:errBarType val="both"/>
            <c:errValType val="cust"/>
            <c:noEndCap val="0"/>
            <c:plus>
              <c:numRef>
                <c:f>Resultats_2010_2014_2017!$G$13:$G$19</c:f>
                <c:numCache>
                  <c:formatCode>General</c:formatCode>
                  <c:ptCount val="7"/>
                  <c:pt idx="0">
                    <c:v>11.649881999999998</c:v>
                  </c:pt>
                  <c:pt idx="1">
                    <c:v>1.7862505399999997</c:v>
                  </c:pt>
                  <c:pt idx="2">
                    <c:v>5.8607678999999999</c:v>
                  </c:pt>
                  <c:pt idx="3">
                    <c:v>7.7083579999999985E-2</c:v>
                  </c:pt>
                  <c:pt idx="4">
                    <c:v>17.625464009999998</c:v>
                  </c:pt>
                  <c:pt idx="5">
                    <c:v>0</c:v>
                  </c:pt>
                </c:numCache>
              </c:numRef>
            </c:plus>
            <c:minus>
              <c:numRef>
                <c:f>Resultats_2010_2014_2017!$G$13:$G$19</c:f>
                <c:numCache>
                  <c:formatCode>General</c:formatCode>
                  <c:ptCount val="7"/>
                  <c:pt idx="0">
                    <c:v>11.649881999999998</c:v>
                  </c:pt>
                  <c:pt idx="1">
                    <c:v>1.7862505399999997</c:v>
                  </c:pt>
                  <c:pt idx="2">
                    <c:v>5.8607678999999999</c:v>
                  </c:pt>
                  <c:pt idx="3">
                    <c:v>7.7083579999999985E-2</c:v>
                  </c:pt>
                  <c:pt idx="4">
                    <c:v>17.625464009999998</c:v>
                  </c:pt>
                  <c:pt idx="5">
                    <c:v>0</c:v>
                  </c:pt>
                </c:numCache>
              </c:numRef>
            </c:minus>
          </c:errBars>
          <c:cat>
            <c:strRef>
              <c:f>Resultats_2010_2014_2017!$C$13:$C$19</c:f>
              <c:strCache>
                <c:ptCount val="7"/>
                <c:pt idx="0">
                  <c:v>Electricité (158 SE)</c:v>
                </c:pt>
                <c:pt idx="1">
                  <c:v>Electricité spécifique (EF)</c:v>
                </c:pt>
                <c:pt idx="2">
                  <c:v>Electricité (EF chauffage)</c:v>
                </c:pt>
                <c:pt idx="3">
                  <c:v>Electricité (MD SE)</c:v>
                </c:pt>
                <c:pt idx="4">
                  <c:v>Electricité (Gardanne)</c:v>
                </c:pt>
                <c:pt idx="5">
                  <c:v>Electricité (CIS SE)</c:v>
                </c:pt>
                <c:pt idx="6">
                  <c:v>Emissions indirectes liées à la consommation de chaleur, vapeur ou froid</c:v>
                </c:pt>
              </c:strCache>
            </c:strRef>
          </c:cat>
          <c:val>
            <c:numRef>
              <c:f>Resultats_2010_2014_2017!$F$13:$F$19</c:f>
              <c:numCache>
                <c:formatCode>0.0</c:formatCode>
                <c:ptCount val="7"/>
                <c:pt idx="0" formatCode="0">
                  <c:v>116.49881999999998</c:v>
                </c:pt>
                <c:pt idx="1">
                  <c:v>17.862505399999996</c:v>
                </c:pt>
                <c:pt idx="2">
                  <c:v>19.535893000000002</c:v>
                </c:pt>
                <c:pt idx="3" formatCode="0.00">
                  <c:v>0.77083579999999985</c:v>
                </c:pt>
                <c:pt idx="4" formatCode="0">
                  <c:v>176.25464009999996</c:v>
                </c:pt>
                <c:pt idx="5" formatCode="0">
                  <c:v>0</c:v>
                </c:pt>
              </c:numCache>
            </c:numRef>
          </c:val>
          <c:extLst>
            <c:ext xmlns:c16="http://schemas.microsoft.com/office/drawing/2014/chart" uri="{C3380CC4-5D6E-409C-BE32-E72D297353CC}">
              <c16:uniqueId val="{00000001-56CF-49A8-ABE4-C9D5498BEF5D}"/>
            </c:ext>
          </c:extLst>
        </c:ser>
        <c:ser>
          <c:idx val="2"/>
          <c:order val="2"/>
          <c:tx>
            <c:strRef>
              <c:f>Resultats_2010_2014_2017!$H$4</c:f>
              <c:strCache>
                <c:ptCount val="1"/>
                <c:pt idx="0">
                  <c:v>2017</c:v>
                </c:pt>
              </c:strCache>
            </c:strRef>
          </c:tx>
          <c:invertIfNegative val="0"/>
          <c:errBars>
            <c:errBarType val="both"/>
            <c:errValType val="cust"/>
            <c:noEndCap val="0"/>
            <c:plus>
              <c:numRef>
                <c:f>Resultats_2010_2014_2017!$I$13:$I$19</c:f>
                <c:numCache>
                  <c:formatCode>General</c:formatCode>
                  <c:ptCount val="7"/>
                  <c:pt idx="0">
                    <c:v>9.1972796899999967</c:v>
                  </c:pt>
                  <c:pt idx="1">
                    <c:v>1.7216605299999999</c:v>
                  </c:pt>
                  <c:pt idx="2">
                    <c:v>7.8535314000000005</c:v>
                  </c:pt>
                  <c:pt idx="3">
                    <c:v>1.6679659999999995E-2</c:v>
                  </c:pt>
                  <c:pt idx="4">
                    <c:v>18.902700239999998</c:v>
                  </c:pt>
                  <c:pt idx="5">
                    <c:v>2.2677996999999994</c:v>
                  </c:pt>
                  <c:pt idx="6">
                    <c:v>2.2370961</c:v>
                  </c:pt>
                </c:numCache>
              </c:numRef>
            </c:plus>
            <c:minus>
              <c:numRef>
                <c:f>Resultats_2010_2014_2017!$I$13:$I$19</c:f>
                <c:numCache>
                  <c:formatCode>General</c:formatCode>
                  <c:ptCount val="7"/>
                  <c:pt idx="0">
                    <c:v>9.1972796899999967</c:v>
                  </c:pt>
                  <c:pt idx="1">
                    <c:v>1.7216605299999999</c:v>
                  </c:pt>
                  <c:pt idx="2">
                    <c:v>7.8535314000000005</c:v>
                  </c:pt>
                  <c:pt idx="3">
                    <c:v>1.6679659999999995E-2</c:v>
                  </c:pt>
                  <c:pt idx="4">
                    <c:v>18.902700239999998</c:v>
                  </c:pt>
                  <c:pt idx="5">
                    <c:v>2.2677996999999994</c:v>
                  </c:pt>
                  <c:pt idx="6">
                    <c:v>2.2370961</c:v>
                  </c:pt>
                </c:numCache>
              </c:numRef>
            </c:minus>
          </c:errBars>
          <c:cat>
            <c:strRef>
              <c:f>Resultats_2010_2014_2017!$C$13:$C$19</c:f>
              <c:strCache>
                <c:ptCount val="7"/>
                <c:pt idx="0">
                  <c:v>Electricité (158 SE)</c:v>
                </c:pt>
                <c:pt idx="1">
                  <c:v>Electricité spécifique (EF)</c:v>
                </c:pt>
                <c:pt idx="2">
                  <c:v>Electricité (EF chauffage)</c:v>
                </c:pt>
                <c:pt idx="3">
                  <c:v>Electricité (MD SE)</c:v>
                </c:pt>
                <c:pt idx="4">
                  <c:v>Electricité (Gardanne)</c:v>
                </c:pt>
                <c:pt idx="5">
                  <c:v>Electricité (CIS SE)</c:v>
                </c:pt>
                <c:pt idx="6">
                  <c:v>Emissions indirectes liées à la consommation de chaleur, vapeur ou froid</c:v>
                </c:pt>
              </c:strCache>
            </c:strRef>
          </c:cat>
          <c:val>
            <c:numRef>
              <c:f>Resultats_2010_2014_2017!$H$13:$H$19</c:f>
              <c:numCache>
                <c:formatCode>0.0</c:formatCode>
                <c:ptCount val="7"/>
                <c:pt idx="0" formatCode="0">
                  <c:v>91.972796899999963</c:v>
                </c:pt>
                <c:pt idx="1">
                  <c:v>17.216605299999998</c:v>
                </c:pt>
                <c:pt idx="2">
                  <c:v>26.178438000000003</c:v>
                </c:pt>
                <c:pt idx="3" formatCode="0.00">
                  <c:v>0.16679659999999996</c:v>
                </c:pt>
                <c:pt idx="4" formatCode="0">
                  <c:v>189.02700239999996</c:v>
                </c:pt>
                <c:pt idx="5" formatCode="0">
                  <c:v>22.677996999999994</c:v>
                </c:pt>
                <c:pt idx="6" formatCode="0.00">
                  <c:v>22.370961000000001</c:v>
                </c:pt>
              </c:numCache>
            </c:numRef>
          </c:val>
          <c:extLst>
            <c:ext xmlns:c16="http://schemas.microsoft.com/office/drawing/2014/chart" uri="{C3380CC4-5D6E-409C-BE32-E72D297353CC}">
              <c16:uniqueId val="{00000001-244E-44A7-B75B-319393F492E4}"/>
            </c:ext>
          </c:extLst>
        </c:ser>
        <c:dLbls>
          <c:showLegendKey val="0"/>
          <c:showVal val="0"/>
          <c:showCatName val="0"/>
          <c:showSerName val="0"/>
          <c:showPercent val="0"/>
          <c:showBubbleSize val="0"/>
        </c:dLbls>
        <c:gapWidth val="150"/>
        <c:axId val="131081728"/>
        <c:axId val="131170304"/>
      </c:barChart>
      <c:catAx>
        <c:axId val="131081728"/>
        <c:scaling>
          <c:orientation val="minMax"/>
        </c:scaling>
        <c:delete val="0"/>
        <c:axPos val="b"/>
        <c:numFmt formatCode="General" sourceLinked="0"/>
        <c:majorTickMark val="none"/>
        <c:minorTickMark val="none"/>
        <c:tickLblPos val="nextTo"/>
        <c:txPr>
          <a:bodyPr/>
          <a:lstStyle/>
          <a:p>
            <a:pPr>
              <a:defRPr sz="800"/>
            </a:pPr>
            <a:endParaRPr lang="fr-FR"/>
          </a:p>
        </c:txPr>
        <c:crossAx val="131170304"/>
        <c:crosses val="autoZero"/>
        <c:auto val="1"/>
        <c:lblAlgn val="ctr"/>
        <c:lblOffset val="100"/>
        <c:noMultiLvlLbl val="0"/>
      </c:catAx>
      <c:valAx>
        <c:axId val="131170304"/>
        <c:scaling>
          <c:orientation val="minMax"/>
        </c:scaling>
        <c:delete val="0"/>
        <c:axPos val="l"/>
        <c:majorGridlines/>
        <c:title>
          <c:tx>
            <c:rich>
              <a:bodyPr/>
              <a:lstStyle/>
              <a:p>
                <a:pPr>
                  <a:defRPr/>
                </a:pPr>
                <a:r>
                  <a:rPr lang="fr-FR"/>
                  <a:t>Tonnes de CO2e</a:t>
                </a:r>
              </a:p>
            </c:rich>
          </c:tx>
          <c:layout/>
          <c:overlay val="0"/>
        </c:title>
        <c:numFmt formatCode="0" sourceLinked="1"/>
        <c:majorTickMark val="out"/>
        <c:minorTickMark val="none"/>
        <c:tickLblPos val="nextTo"/>
        <c:crossAx val="131081728"/>
        <c:crosses val="autoZero"/>
        <c:crossBetween val="between"/>
      </c:valAx>
    </c:plotArea>
    <c:legend>
      <c:legendPos val="r"/>
      <c:layout/>
      <c:overlay val="0"/>
    </c:legend>
    <c:plotVisOnly val="1"/>
    <c:dispBlanksAs val="gap"/>
    <c:showDLblsOverMax val="0"/>
  </c:chart>
  <c:printSettings>
    <c:headerFooter/>
    <c:pageMargins b="0.75000000000000211" l="0.70000000000000062" r="0.70000000000000062" t="0.750000000000002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400"/>
              <a:t>Autres</a:t>
            </a:r>
            <a:r>
              <a:rPr lang="fr-FR" sz="1600"/>
              <a:t> </a:t>
            </a:r>
            <a:r>
              <a:rPr lang="fr-FR" sz="1400"/>
              <a:t>émissions</a:t>
            </a:r>
            <a:r>
              <a:rPr lang="fr-FR" sz="1600"/>
              <a:t> </a:t>
            </a:r>
            <a:r>
              <a:rPr lang="fr-FR" sz="1400"/>
              <a:t>indirectes (périmètre optionnel)</a:t>
            </a:r>
          </a:p>
        </c:rich>
      </c:tx>
      <c:layout>
        <c:manualLayout>
          <c:xMode val="edge"/>
          <c:yMode val="edge"/>
          <c:x val="0.1310161534686213"/>
          <c:y val="1.7748194348318095E-2"/>
        </c:manualLayout>
      </c:layout>
      <c:overlay val="0"/>
    </c:title>
    <c:autoTitleDeleted val="0"/>
    <c:plotArea>
      <c:layout/>
      <c:barChart>
        <c:barDir val="col"/>
        <c:grouping val="clustered"/>
        <c:varyColors val="0"/>
        <c:ser>
          <c:idx val="0"/>
          <c:order val="0"/>
          <c:tx>
            <c:strRef>
              <c:f>Resultats_2010_2014_2017!$D$4</c:f>
              <c:strCache>
                <c:ptCount val="1"/>
                <c:pt idx="0">
                  <c:v>2010</c:v>
                </c:pt>
              </c:strCache>
            </c:strRef>
          </c:tx>
          <c:invertIfNegative val="0"/>
          <c:errBars>
            <c:errBarType val="both"/>
            <c:errValType val="cust"/>
            <c:noEndCap val="0"/>
            <c:plus>
              <c:numRef>
                <c:f>Resultats_2010_2014_2017!$E$21:$E$36</c:f>
                <c:numCache>
                  <c:formatCode>General</c:formatCode>
                  <c:ptCount val="16"/>
                  <c:pt idx="0">
                    <c:v>8.5857840400000001</c:v>
                  </c:pt>
                  <c:pt idx="1">
                    <c:v>1.3174164000000002</c:v>
                  </c:pt>
                  <c:pt idx="2">
                    <c:v>3.8846751000000006E-2</c:v>
                  </c:pt>
                  <c:pt idx="3">
                    <c:v>0</c:v>
                  </c:pt>
                  <c:pt idx="4">
                    <c:v>140.15430304363636</c:v>
                  </c:pt>
                  <c:pt idx="5">
                    <c:v>2.5773865874999999</c:v>
                  </c:pt>
                  <c:pt idx="6">
                    <c:v>79.513805753526327</c:v>
                  </c:pt>
                  <c:pt idx="7">
                    <c:v>204.90680349999997</c:v>
                  </c:pt>
                  <c:pt idx="9">
                    <c:v>0</c:v>
                  </c:pt>
                  <c:pt idx="10">
                    <c:v>0</c:v>
                  </c:pt>
                  <c:pt idx="11">
                    <c:v>0</c:v>
                  </c:pt>
                  <c:pt idx="12">
                    <c:v>0</c:v>
                  </c:pt>
                  <c:pt idx="13">
                    <c:v>0</c:v>
                  </c:pt>
                  <c:pt idx="14">
                    <c:v>0</c:v>
                  </c:pt>
                  <c:pt idx="15">
                    <c:v>0</c:v>
                  </c:pt>
                </c:numCache>
              </c:numRef>
            </c:plus>
            <c:minus>
              <c:numRef>
                <c:f>Resultats_2010_2014_2017!$E$21:$E$36</c:f>
                <c:numCache>
                  <c:formatCode>General</c:formatCode>
                  <c:ptCount val="16"/>
                  <c:pt idx="0">
                    <c:v>8.5857840400000001</c:v>
                  </c:pt>
                  <c:pt idx="1">
                    <c:v>1.3174164000000002</c:v>
                  </c:pt>
                  <c:pt idx="2">
                    <c:v>3.8846751000000006E-2</c:v>
                  </c:pt>
                  <c:pt idx="3">
                    <c:v>0</c:v>
                  </c:pt>
                  <c:pt idx="4">
                    <c:v>140.15430304363636</c:v>
                  </c:pt>
                  <c:pt idx="5">
                    <c:v>2.5773865874999999</c:v>
                  </c:pt>
                  <c:pt idx="6">
                    <c:v>79.513805753526327</c:v>
                  </c:pt>
                  <c:pt idx="7">
                    <c:v>204.90680349999997</c:v>
                  </c:pt>
                  <c:pt idx="9">
                    <c:v>0</c:v>
                  </c:pt>
                  <c:pt idx="10">
                    <c:v>0</c:v>
                  </c:pt>
                  <c:pt idx="11">
                    <c:v>0</c:v>
                  </c:pt>
                  <c:pt idx="12">
                    <c:v>0</c:v>
                  </c:pt>
                  <c:pt idx="13">
                    <c:v>0</c:v>
                  </c:pt>
                  <c:pt idx="14">
                    <c:v>0</c:v>
                  </c:pt>
                  <c:pt idx="15">
                    <c:v>0</c:v>
                  </c:pt>
                </c:numCache>
              </c:numRef>
            </c:minus>
          </c:errBars>
          <c:cat>
            <c:strRef>
              <c:f>Resultats_2010_2014_2017!$C$21:$C$30</c:f>
              <c:strCache>
                <c:ptCount val="10"/>
                <c:pt idx="0">
                  <c:v>Em. Ind. liées aux conso de gaz</c:v>
                </c:pt>
                <c:pt idx="1">
                  <c:v>Em. Ind. liées aux conso de gazole</c:v>
                </c:pt>
                <c:pt idx="2">
                  <c:v>Emissions indirectes liées aux consommations d'essence SP</c:v>
                </c:pt>
                <c:pt idx="3">
                  <c:v>Déchets </c:v>
                </c:pt>
                <c:pt idx="4">
                  <c:v>Déplacements domicile / travail</c:v>
                </c:pt>
                <c:pt idx="5">
                  <c:v>Missions en train</c:v>
                </c:pt>
                <c:pt idx="6">
                  <c:v>Missions en avion</c:v>
                </c:pt>
                <c:pt idx="7">
                  <c:v>Déplacements internationaux  élèves</c:v>
                </c:pt>
                <c:pt idx="8">
                  <c:v>Déplacements des élèves étrangers pour venir à Saint-Etienne</c:v>
                </c:pt>
                <c:pt idx="9">
                  <c:v>Immobilisation biens</c:v>
                </c:pt>
              </c:strCache>
            </c:strRef>
          </c:cat>
          <c:val>
            <c:numRef>
              <c:f>Resultats_2010_2014_2017!$D$21:$D$30</c:f>
              <c:numCache>
                <c:formatCode>0.0</c:formatCode>
                <c:ptCount val="10"/>
                <c:pt idx="0" formatCode="0">
                  <c:v>171.7156808</c:v>
                </c:pt>
                <c:pt idx="1">
                  <c:v>13.174164000000001</c:v>
                </c:pt>
                <c:pt idx="2" formatCode="0.00">
                  <c:v>0.38846751000000002</c:v>
                </c:pt>
                <c:pt idx="3" formatCode="0">
                  <c:v>0</c:v>
                </c:pt>
                <c:pt idx="4" formatCode="0">
                  <c:v>700.77151521818178</c:v>
                </c:pt>
                <c:pt idx="5" formatCode="0">
                  <c:v>4.2956443125000003</c:v>
                </c:pt>
                <c:pt idx="6" formatCode="0">
                  <c:v>159.02761150705265</c:v>
                </c:pt>
                <c:pt idx="7" formatCode="0">
                  <c:v>409.81360699999993</c:v>
                </c:pt>
                <c:pt idx="9" formatCode="0.00">
                  <c:v>0</c:v>
                </c:pt>
              </c:numCache>
            </c:numRef>
          </c:val>
          <c:extLst>
            <c:ext xmlns:c16="http://schemas.microsoft.com/office/drawing/2014/chart" uri="{C3380CC4-5D6E-409C-BE32-E72D297353CC}">
              <c16:uniqueId val="{00000000-1847-4F47-8A21-D5A8CE417426}"/>
            </c:ext>
          </c:extLst>
        </c:ser>
        <c:ser>
          <c:idx val="1"/>
          <c:order val="1"/>
          <c:tx>
            <c:strRef>
              <c:f>Resultats_2010_2014_2017!$F$4</c:f>
              <c:strCache>
                <c:ptCount val="1"/>
                <c:pt idx="0">
                  <c:v>2014</c:v>
                </c:pt>
              </c:strCache>
            </c:strRef>
          </c:tx>
          <c:invertIfNegative val="0"/>
          <c:errBars>
            <c:errBarType val="both"/>
            <c:errValType val="cust"/>
            <c:noEndCap val="0"/>
            <c:plus>
              <c:numRef>
                <c:f>Resultats_2010_2014_2017!$G$21:$G$36</c:f>
                <c:numCache>
                  <c:formatCode>General</c:formatCode>
                  <c:ptCount val="16"/>
                  <c:pt idx="0">
                    <c:v>5.9483655800000008</c:v>
                  </c:pt>
                  <c:pt idx="1">
                    <c:v>1.0450373400000001</c:v>
                  </c:pt>
                  <c:pt idx="2">
                    <c:v>5.2700000000000002E-4</c:v>
                  </c:pt>
                  <c:pt idx="3">
                    <c:v>1.0789482499999998</c:v>
                  </c:pt>
                  <c:pt idx="4">
                    <c:v>393.65254341000002</c:v>
                  </c:pt>
                  <c:pt idx="5">
                    <c:v>1.25</c:v>
                  </c:pt>
                  <c:pt idx="6">
                    <c:v>100.84</c:v>
                  </c:pt>
                  <c:pt idx="7">
                    <c:v>174.90018849999998</c:v>
                  </c:pt>
                  <c:pt idx="9">
                    <c:v>0</c:v>
                  </c:pt>
                  <c:pt idx="10">
                    <c:v>0</c:v>
                  </c:pt>
                  <c:pt idx="11">
                    <c:v>0</c:v>
                  </c:pt>
                  <c:pt idx="12">
                    <c:v>0</c:v>
                  </c:pt>
                  <c:pt idx="13">
                    <c:v>0</c:v>
                  </c:pt>
                  <c:pt idx="14">
                    <c:v>0</c:v>
                  </c:pt>
                  <c:pt idx="15">
                    <c:v>0</c:v>
                  </c:pt>
                </c:numCache>
              </c:numRef>
            </c:plus>
            <c:minus>
              <c:numRef>
                <c:f>Resultats_2010_2014_2017!$G$21:$G$36</c:f>
                <c:numCache>
                  <c:formatCode>General</c:formatCode>
                  <c:ptCount val="16"/>
                  <c:pt idx="0">
                    <c:v>5.9483655800000008</c:v>
                  </c:pt>
                  <c:pt idx="1">
                    <c:v>1.0450373400000001</c:v>
                  </c:pt>
                  <c:pt idx="2">
                    <c:v>5.2700000000000002E-4</c:v>
                  </c:pt>
                  <c:pt idx="3">
                    <c:v>1.0789482499999998</c:v>
                  </c:pt>
                  <c:pt idx="4">
                    <c:v>393.65254341000002</c:v>
                  </c:pt>
                  <c:pt idx="5">
                    <c:v>1.25</c:v>
                  </c:pt>
                  <c:pt idx="6">
                    <c:v>100.84</c:v>
                  </c:pt>
                  <c:pt idx="7">
                    <c:v>174.90018849999998</c:v>
                  </c:pt>
                  <c:pt idx="9">
                    <c:v>0</c:v>
                  </c:pt>
                  <c:pt idx="10">
                    <c:v>0</c:v>
                  </c:pt>
                  <c:pt idx="11">
                    <c:v>0</c:v>
                  </c:pt>
                  <c:pt idx="12">
                    <c:v>0</c:v>
                  </c:pt>
                  <c:pt idx="13">
                    <c:v>0</c:v>
                  </c:pt>
                  <c:pt idx="14">
                    <c:v>0</c:v>
                  </c:pt>
                  <c:pt idx="15">
                    <c:v>0</c:v>
                  </c:pt>
                </c:numCache>
              </c:numRef>
            </c:minus>
          </c:errBars>
          <c:cat>
            <c:strRef>
              <c:f>Resultats_2010_2014_2017!$C$21:$C$30</c:f>
              <c:strCache>
                <c:ptCount val="10"/>
                <c:pt idx="0">
                  <c:v>Em. Ind. liées aux conso de gaz</c:v>
                </c:pt>
                <c:pt idx="1">
                  <c:v>Em. Ind. liées aux conso de gazole</c:v>
                </c:pt>
                <c:pt idx="2">
                  <c:v>Emissions indirectes liées aux consommations d'essence SP</c:v>
                </c:pt>
                <c:pt idx="3">
                  <c:v>Déchets </c:v>
                </c:pt>
                <c:pt idx="4">
                  <c:v>Déplacements domicile / travail</c:v>
                </c:pt>
                <c:pt idx="5">
                  <c:v>Missions en train</c:v>
                </c:pt>
                <c:pt idx="6">
                  <c:v>Missions en avion</c:v>
                </c:pt>
                <c:pt idx="7">
                  <c:v>Déplacements internationaux  élèves</c:v>
                </c:pt>
                <c:pt idx="8">
                  <c:v>Déplacements des élèves étrangers pour venir à Saint-Etienne</c:v>
                </c:pt>
                <c:pt idx="9">
                  <c:v>Immobilisation biens</c:v>
                </c:pt>
              </c:strCache>
            </c:strRef>
          </c:cat>
          <c:val>
            <c:numRef>
              <c:f>Resultats_2010_2014_2017!$F$21:$F$30</c:f>
              <c:numCache>
                <c:formatCode>0.0</c:formatCode>
                <c:ptCount val="10"/>
                <c:pt idx="0" formatCode="0">
                  <c:v>118.9673116</c:v>
                </c:pt>
                <c:pt idx="1">
                  <c:v>10.4503734</c:v>
                </c:pt>
                <c:pt idx="2" formatCode="0.00">
                  <c:v>5.2700000000000004E-3</c:v>
                </c:pt>
                <c:pt idx="3" formatCode="0">
                  <c:v>2.2080564999999996</c:v>
                </c:pt>
                <c:pt idx="4" formatCode="0">
                  <c:v>787.30508682000004</c:v>
                </c:pt>
                <c:pt idx="5" formatCode="General">
                  <c:v>2</c:v>
                </c:pt>
                <c:pt idx="6" formatCode="0">
                  <c:v>202</c:v>
                </c:pt>
                <c:pt idx="7" formatCode="0">
                  <c:v>349.80037699999997</c:v>
                </c:pt>
                <c:pt idx="9" formatCode="0">
                  <c:v>0</c:v>
                </c:pt>
              </c:numCache>
            </c:numRef>
          </c:val>
          <c:extLst>
            <c:ext xmlns:c16="http://schemas.microsoft.com/office/drawing/2014/chart" uri="{C3380CC4-5D6E-409C-BE32-E72D297353CC}">
              <c16:uniqueId val="{00000001-1847-4F47-8A21-D5A8CE417426}"/>
            </c:ext>
          </c:extLst>
        </c:ser>
        <c:ser>
          <c:idx val="2"/>
          <c:order val="2"/>
          <c:tx>
            <c:strRef>
              <c:f>Resultats_2010_2014_2017!$H$4</c:f>
              <c:strCache>
                <c:ptCount val="1"/>
                <c:pt idx="0">
                  <c:v>2017</c:v>
                </c:pt>
              </c:strCache>
            </c:strRef>
          </c:tx>
          <c:invertIfNegative val="0"/>
          <c:errBars>
            <c:errBarType val="both"/>
            <c:errValType val="cust"/>
            <c:noEndCap val="0"/>
            <c:plus>
              <c:numRef>
                <c:f>Resultats_2010_2014_2017!$I$21:$I$30</c:f>
                <c:numCache>
                  <c:formatCode>General</c:formatCode>
                  <c:ptCount val="10"/>
                  <c:pt idx="0">
                    <c:v>7.7327878000000005</c:v>
                  </c:pt>
                  <c:pt idx="1">
                    <c:v>0.83821045500000002</c:v>
                  </c:pt>
                  <c:pt idx="2">
                    <c:v>3.1567300000000004E-4</c:v>
                  </c:pt>
                  <c:pt idx="3">
                    <c:v>1.2944407500000001</c:v>
                  </c:pt>
                  <c:pt idx="4">
                    <c:v>401.33356864726824</c:v>
                  </c:pt>
                  <c:pt idx="5">
                    <c:v>0.90429669863999995</c:v>
                  </c:pt>
                  <c:pt idx="6">
                    <c:v>115.17851315999999</c:v>
                  </c:pt>
                  <c:pt idx="7">
                    <c:v>300.93205740000002</c:v>
                  </c:pt>
                  <c:pt idx="9">
                    <c:v>319.06835999999998</c:v>
                  </c:pt>
                </c:numCache>
              </c:numRef>
            </c:plus>
            <c:minus>
              <c:numRef>
                <c:f>Resultats_2010_2014_2017!$I$21:$I$30</c:f>
                <c:numCache>
                  <c:formatCode>General</c:formatCode>
                  <c:ptCount val="10"/>
                  <c:pt idx="0">
                    <c:v>7.7327878000000005</c:v>
                  </c:pt>
                  <c:pt idx="1">
                    <c:v>0.83821045500000002</c:v>
                  </c:pt>
                  <c:pt idx="2">
                    <c:v>3.1567300000000004E-4</c:v>
                  </c:pt>
                  <c:pt idx="3">
                    <c:v>1.2944407500000001</c:v>
                  </c:pt>
                  <c:pt idx="4">
                    <c:v>401.33356864726824</c:v>
                  </c:pt>
                  <c:pt idx="5">
                    <c:v>0.90429669863999995</c:v>
                  </c:pt>
                  <c:pt idx="6">
                    <c:v>115.17851315999999</c:v>
                  </c:pt>
                  <c:pt idx="7">
                    <c:v>300.93205740000002</c:v>
                  </c:pt>
                  <c:pt idx="9">
                    <c:v>319.06835999999998</c:v>
                  </c:pt>
                </c:numCache>
              </c:numRef>
            </c:minus>
          </c:errBars>
          <c:cat>
            <c:strRef>
              <c:f>Resultats_2010_2014_2017!$C$21:$C$30</c:f>
              <c:strCache>
                <c:ptCount val="10"/>
                <c:pt idx="0">
                  <c:v>Em. Ind. liées aux conso de gaz</c:v>
                </c:pt>
                <c:pt idx="1">
                  <c:v>Em. Ind. liées aux conso de gazole</c:v>
                </c:pt>
                <c:pt idx="2">
                  <c:v>Emissions indirectes liées aux consommations d'essence SP</c:v>
                </c:pt>
                <c:pt idx="3">
                  <c:v>Déchets </c:v>
                </c:pt>
                <c:pt idx="4">
                  <c:v>Déplacements domicile / travail</c:v>
                </c:pt>
                <c:pt idx="5">
                  <c:v>Missions en train</c:v>
                </c:pt>
                <c:pt idx="6">
                  <c:v>Missions en avion</c:v>
                </c:pt>
                <c:pt idx="7">
                  <c:v>Déplacements internationaux  élèves</c:v>
                </c:pt>
                <c:pt idx="8">
                  <c:v>Déplacements des élèves étrangers pour venir à Saint-Etienne</c:v>
                </c:pt>
                <c:pt idx="9">
                  <c:v>Immobilisation biens</c:v>
                </c:pt>
              </c:strCache>
            </c:strRef>
          </c:cat>
          <c:val>
            <c:numRef>
              <c:f>Resultats_2010_2014_2017!$H$21:$H$30</c:f>
              <c:numCache>
                <c:formatCode>0.00</c:formatCode>
                <c:ptCount val="10"/>
                <c:pt idx="0" formatCode="0">
                  <c:v>154.655756</c:v>
                </c:pt>
                <c:pt idx="1">
                  <c:v>8.3821045499999993</c:v>
                </c:pt>
                <c:pt idx="2" formatCode="0.000">
                  <c:v>3.1567300000000004E-3</c:v>
                </c:pt>
                <c:pt idx="3" formatCode="0.0">
                  <c:v>3.1842915000000001</c:v>
                </c:pt>
                <c:pt idx="4" formatCode="0.0">
                  <c:v>802.66713729453647</c:v>
                </c:pt>
                <c:pt idx="5" formatCode="0">
                  <c:v>1.5071611644</c:v>
                </c:pt>
                <c:pt idx="6" formatCode="0">
                  <c:v>230.35702631999999</c:v>
                </c:pt>
                <c:pt idx="7" formatCode="0">
                  <c:v>443.61402822000002</c:v>
                </c:pt>
                <c:pt idx="8" formatCode="0">
                  <c:v>185.08394358000001</c:v>
                </c:pt>
                <c:pt idx="9" formatCode="0">
                  <c:v>638.13671999999997</c:v>
                </c:pt>
              </c:numCache>
            </c:numRef>
          </c:val>
          <c:extLst>
            <c:ext xmlns:c16="http://schemas.microsoft.com/office/drawing/2014/chart" uri="{C3380CC4-5D6E-409C-BE32-E72D297353CC}">
              <c16:uniqueId val="{00000000-FAD8-49F3-8DFB-FAB71F350591}"/>
            </c:ext>
          </c:extLst>
        </c:ser>
        <c:dLbls>
          <c:showLegendKey val="0"/>
          <c:showVal val="0"/>
          <c:showCatName val="0"/>
          <c:showSerName val="0"/>
          <c:showPercent val="0"/>
          <c:showBubbleSize val="0"/>
        </c:dLbls>
        <c:gapWidth val="150"/>
        <c:axId val="131082752"/>
        <c:axId val="131172608"/>
      </c:barChart>
      <c:catAx>
        <c:axId val="131082752"/>
        <c:scaling>
          <c:orientation val="minMax"/>
        </c:scaling>
        <c:delete val="0"/>
        <c:axPos val="b"/>
        <c:numFmt formatCode="General" sourceLinked="0"/>
        <c:majorTickMark val="none"/>
        <c:minorTickMark val="none"/>
        <c:tickLblPos val="nextTo"/>
        <c:crossAx val="131172608"/>
        <c:crosses val="autoZero"/>
        <c:auto val="1"/>
        <c:lblAlgn val="ctr"/>
        <c:lblOffset val="100"/>
        <c:noMultiLvlLbl val="0"/>
      </c:catAx>
      <c:valAx>
        <c:axId val="131172608"/>
        <c:scaling>
          <c:orientation val="minMax"/>
        </c:scaling>
        <c:delete val="0"/>
        <c:axPos val="l"/>
        <c:majorGridlines/>
        <c:title>
          <c:tx>
            <c:rich>
              <a:bodyPr/>
              <a:lstStyle/>
              <a:p>
                <a:pPr>
                  <a:defRPr/>
                </a:pPr>
                <a:r>
                  <a:rPr lang="fr-FR"/>
                  <a:t>Tonnes CO2e</a:t>
                </a:r>
              </a:p>
            </c:rich>
          </c:tx>
          <c:layout/>
          <c:overlay val="0"/>
        </c:title>
        <c:numFmt formatCode="0" sourceLinked="1"/>
        <c:majorTickMark val="out"/>
        <c:minorTickMark val="none"/>
        <c:tickLblPos val="nextTo"/>
        <c:crossAx val="131082752"/>
        <c:crosses val="autoZero"/>
        <c:crossBetween val="between"/>
      </c:valAx>
    </c:plotArea>
    <c:legend>
      <c:legendPos val="r"/>
      <c:layout/>
      <c:overlay val="0"/>
    </c:legend>
    <c:plotVisOnly val="1"/>
    <c:dispBlanksAs val="gap"/>
    <c:showDLblsOverMax val="0"/>
  </c:chart>
  <c:printSettings>
    <c:headerFooter/>
    <c:pageMargins b="0.750000000000002" l="0.70000000000000062" r="0.70000000000000062" t="0.75000000000000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Evolution des émissions (en t CO2e)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tx>
            <c:strRef>
              <c:f>'Top19'!$D$1</c:f>
              <c:strCache>
                <c:ptCount val="1"/>
                <c:pt idx="0">
                  <c:v>Emissions 2010</c:v>
                </c:pt>
              </c:strCache>
            </c:strRef>
          </c:tx>
          <c:spPr>
            <a:solidFill>
              <a:schemeClr val="accent1"/>
            </a:solidFill>
            <a:ln>
              <a:noFill/>
            </a:ln>
            <a:effectLst/>
          </c:spPr>
          <c:invertIfNegative val="0"/>
          <c:cat>
            <c:strRef>
              <c:f>'Top19'!$C$2:$C$20</c:f>
              <c:strCache>
                <c:ptCount val="19"/>
                <c:pt idx="0">
                  <c:v>Déplacements domicile / travail</c:v>
                </c:pt>
                <c:pt idx="1">
                  <c:v>Immobilisation biens</c:v>
                </c:pt>
                <c:pt idx="2">
                  <c:v>Chaufferie Gaz (158 SE)</c:v>
                </c:pt>
                <c:pt idx="3">
                  <c:v>Gaz (Gardanne)</c:v>
                </c:pt>
                <c:pt idx="4">
                  <c:v>Déplacements internationaux  élèves</c:v>
                </c:pt>
                <c:pt idx="5">
                  <c:v>Missions en avion</c:v>
                </c:pt>
                <c:pt idx="6">
                  <c:v>Electricité (Gardanne)</c:v>
                </c:pt>
                <c:pt idx="7">
                  <c:v>Déplacements élèves étrangers accueillis</c:v>
                </c:pt>
                <c:pt idx="8">
                  <c:v>Em. Ind. liées aux conso de gaz</c:v>
                </c:pt>
                <c:pt idx="9">
                  <c:v>Em. Ind. liées aux conso de gazole</c:v>
                </c:pt>
                <c:pt idx="10">
                  <c:v>Electricité (158 SE)</c:v>
                </c:pt>
                <c:pt idx="11">
                  <c:v>Emissions directes procédés Saint-Etienne</c:v>
                </c:pt>
                <c:pt idx="12">
                  <c:v>Electricité EF (spécifique + chauffage)</c:v>
                </c:pt>
                <c:pt idx="13">
                  <c:v>Carburant (gazole)</c:v>
                </c:pt>
                <c:pt idx="14">
                  <c:v>Electricité (CIS SE)</c:v>
                </c:pt>
                <c:pt idx="15">
                  <c:v>Achat chaleur (CIS)</c:v>
                </c:pt>
                <c:pt idx="16">
                  <c:v>Déchets </c:v>
                </c:pt>
                <c:pt idx="17">
                  <c:v>Emissions directes procédés Gardanne</c:v>
                </c:pt>
                <c:pt idx="18">
                  <c:v>Missions en train</c:v>
                </c:pt>
              </c:strCache>
            </c:strRef>
          </c:cat>
          <c:val>
            <c:numRef>
              <c:f>'Top19'!$D$2:$D$20</c:f>
              <c:numCache>
                <c:formatCode>0</c:formatCode>
                <c:ptCount val="19"/>
                <c:pt idx="0" formatCode="0.0">
                  <c:v>700.77151521818178</c:v>
                </c:pt>
                <c:pt idx="1">
                  <c:v>0</c:v>
                </c:pt>
                <c:pt idx="2">
                  <c:v>594.80940999999996</c:v>
                </c:pt>
                <c:pt idx="3">
                  <c:v>493.11527999999998</c:v>
                </c:pt>
                <c:pt idx="4">
                  <c:v>409.81360699999993</c:v>
                </c:pt>
                <c:pt idx="5">
                  <c:v>159.02761150705265</c:v>
                </c:pt>
                <c:pt idx="6">
                  <c:v>158.68820189999997</c:v>
                </c:pt>
                <c:pt idx="7">
                  <c:v>0</c:v>
                </c:pt>
                <c:pt idx="8">
                  <c:v>171.7156808</c:v>
                </c:pt>
                <c:pt idx="9" formatCode="0.00">
                  <c:v>171.7156808</c:v>
                </c:pt>
                <c:pt idx="10">
                  <c:v>126.88472279999998</c:v>
                </c:pt>
                <c:pt idx="11" formatCode="0.00">
                  <c:v>63.363238750000001</c:v>
                </c:pt>
                <c:pt idx="12" formatCode="0.0">
                  <c:v>53.319176849999998</c:v>
                </c:pt>
                <c:pt idx="13" formatCode="0.0">
                  <c:v>50.330519999999993</c:v>
                </c:pt>
                <c:pt idx="14">
                  <c:v>0</c:v>
                </c:pt>
                <c:pt idx="15" formatCode="0.00">
                  <c:v>0</c:v>
                </c:pt>
                <c:pt idx="16" formatCode="0.0">
                  <c:v>0</c:v>
                </c:pt>
                <c:pt idx="17" formatCode="0.00">
                  <c:v>55.235050000000001</c:v>
                </c:pt>
                <c:pt idx="18">
                  <c:v>4.2956443125000003</c:v>
                </c:pt>
              </c:numCache>
            </c:numRef>
          </c:val>
          <c:extLst>
            <c:ext xmlns:c16="http://schemas.microsoft.com/office/drawing/2014/chart" uri="{C3380CC4-5D6E-409C-BE32-E72D297353CC}">
              <c16:uniqueId val="{00000000-E142-4145-A14D-D8BE8F6F3CD2}"/>
            </c:ext>
          </c:extLst>
        </c:ser>
        <c:ser>
          <c:idx val="1"/>
          <c:order val="1"/>
          <c:tx>
            <c:strRef>
              <c:f>'Top19'!$E$1</c:f>
              <c:strCache>
                <c:ptCount val="1"/>
                <c:pt idx="0">
                  <c:v>Emissions 2014</c:v>
                </c:pt>
              </c:strCache>
            </c:strRef>
          </c:tx>
          <c:spPr>
            <a:solidFill>
              <a:schemeClr val="accent2"/>
            </a:solidFill>
            <a:ln>
              <a:noFill/>
            </a:ln>
            <a:effectLst/>
          </c:spPr>
          <c:invertIfNegative val="0"/>
          <c:cat>
            <c:strRef>
              <c:f>'Top19'!$C$2:$C$20</c:f>
              <c:strCache>
                <c:ptCount val="19"/>
                <c:pt idx="0">
                  <c:v>Déplacements domicile / travail</c:v>
                </c:pt>
                <c:pt idx="1">
                  <c:v>Immobilisation biens</c:v>
                </c:pt>
                <c:pt idx="2">
                  <c:v>Chaufferie Gaz (158 SE)</c:v>
                </c:pt>
                <c:pt idx="3">
                  <c:v>Gaz (Gardanne)</c:v>
                </c:pt>
                <c:pt idx="4">
                  <c:v>Déplacements internationaux  élèves</c:v>
                </c:pt>
                <c:pt idx="5">
                  <c:v>Missions en avion</c:v>
                </c:pt>
                <c:pt idx="6">
                  <c:v>Electricité (Gardanne)</c:v>
                </c:pt>
                <c:pt idx="7">
                  <c:v>Déplacements élèves étrangers accueillis</c:v>
                </c:pt>
                <c:pt idx="8">
                  <c:v>Em. Ind. liées aux conso de gaz</c:v>
                </c:pt>
                <c:pt idx="9">
                  <c:v>Em. Ind. liées aux conso de gazole</c:v>
                </c:pt>
                <c:pt idx="10">
                  <c:v>Electricité (158 SE)</c:v>
                </c:pt>
                <c:pt idx="11">
                  <c:v>Emissions directes procédés Saint-Etienne</c:v>
                </c:pt>
                <c:pt idx="12">
                  <c:v>Electricité EF (spécifique + chauffage)</c:v>
                </c:pt>
                <c:pt idx="13">
                  <c:v>Carburant (gazole)</c:v>
                </c:pt>
                <c:pt idx="14">
                  <c:v>Electricité (CIS SE)</c:v>
                </c:pt>
                <c:pt idx="15">
                  <c:v>Achat chaleur (CIS)</c:v>
                </c:pt>
                <c:pt idx="16">
                  <c:v>Déchets </c:v>
                </c:pt>
                <c:pt idx="17">
                  <c:v>Emissions directes procédés Gardanne</c:v>
                </c:pt>
                <c:pt idx="18">
                  <c:v>Missions en train</c:v>
                </c:pt>
              </c:strCache>
            </c:strRef>
          </c:cat>
          <c:val>
            <c:numRef>
              <c:f>'Top19'!$E$2:$E$20</c:f>
              <c:numCache>
                <c:formatCode>0</c:formatCode>
                <c:ptCount val="19"/>
                <c:pt idx="0" formatCode="0.0">
                  <c:v>787.30508682000004</c:v>
                </c:pt>
                <c:pt idx="1">
                  <c:v>0</c:v>
                </c:pt>
                <c:pt idx="2">
                  <c:v>407.36851999999999</c:v>
                </c:pt>
                <c:pt idx="3">
                  <c:v>346.36273499999999</c:v>
                </c:pt>
                <c:pt idx="4">
                  <c:v>349.80037699999997</c:v>
                </c:pt>
                <c:pt idx="5">
                  <c:v>202</c:v>
                </c:pt>
                <c:pt idx="6">
                  <c:v>176.25464009999996</c:v>
                </c:pt>
                <c:pt idx="7">
                  <c:v>0</c:v>
                </c:pt>
                <c:pt idx="8">
                  <c:v>118.9673116</c:v>
                </c:pt>
                <c:pt idx="9" formatCode="0.00">
                  <c:v>118.9673116</c:v>
                </c:pt>
                <c:pt idx="10">
                  <c:v>116.49881999999998</c:v>
                </c:pt>
                <c:pt idx="11" formatCode="0.00">
                  <c:v>56.780286250000003</c:v>
                </c:pt>
                <c:pt idx="12" formatCode="0.0">
                  <c:v>37.398398399999998</c:v>
                </c:pt>
                <c:pt idx="13" formatCode="0.0">
                  <c:v>39.924561999999995</c:v>
                </c:pt>
                <c:pt idx="14">
                  <c:v>0</c:v>
                </c:pt>
                <c:pt idx="15" formatCode="0.00">
                  <c:v>0</c:v>
                </c:pt>
                <c:pt idx="16" formatCode="0.0">
                  <c:v>2.2080564999999996</c:v>
                </c:pt>
                <c:pt idx="17" formatCode="0.00">
                  <c:v>54.514450000000004</c:v>
                </c:pt>
                <c:pt idx="18">
                  <c:v>2</c:v>
                </c:pt>
              </c:numCache>
            </c:numRef>
          </c:val>
          <c:extLst>
            <c:ext xmlns:c16="http://schemas.microsoft.com/office/drawing/2014/chart" uri="{C3380CC4-5D6E-409C-BE32-E72D297353CC}">
              <c16:uniqueId val="{00000001-E142-4145-A14D-D8BE8F6F3CD2}"/>
            </c:ext>
          </c:extLst>
        </c:ser>
        <c:ser>
          <c:idx val="2"/>
          <c:order val="2"/>
          <c:tx>
            <c:strRef>
              <c:f>'Top19'!$F$1</c:f>
              <c:strCache>
                <c:ptCount val="1"/>
                <c:pt idx="0">
                  <c:v>Emissions 2017</c:v>
                </c:pt>
              </c:strCache>
            </c:strRef>
          </c:tx>
          <c:spPr>
            <a:solidFill>
              <a:schemeClr val="accent3"/>
            </a:solidFill>
            <a:ln>
              <a:noFill/>
            </a:ln>
            <a:effectLst/>
          </c:spPr>
          <c:invertIfNegative val="0"/>
          <c:cat>
            <c:strRef>
              <c:f>'Top19'!$C$2:$C$20</c:f>
              <c:strCache>
                <c:ptCount val="19"/>
                <c:pt idx="0">
                  <c:v>Déplacements domicile / travail</c:v>
                </c:pt>
                <c:pt idx="1">
                  <c:v>Immobilisation biens</c:v>
                </c:pt>
                <c:pt idx="2">
                  <c:v>Chaufferie Gaz (158 SE)</c:v>
                </c:pt>
                <c:pt idx="3">
                  <c:v>Gaz (Gardanne)</c:v>
                </c:pt>
                <c:pt idx="4">
                  <c:v>Déplacements internationaux  élèves</c:v>
                </c:pt>
                <c:pt idx="5">
                  <c:v>Missions en avion</c:v>
                </c:pt>
                <c:pt idx="6">
                  <c:v>Electricité (Gardanne)</c:v>
                </c:pt>
                <c:pt idx="7">
                  <c:v>Déplacements élèves étrangers accueillis</c:v>
                </c:pt>
                <c:pt idx="8">
                  <c:v>Em. Ind. liées aux conso de gaz</c:v>
                </c:pt>
                <c:pt idx="9">
                  <c:v>Em. Ind. liées aux conso de gazole</c:v>
                </c:pt>
                <c:pt idx="10">
                  <c:v>Electricité (158 SE)</c:v>
                </c:pt>
                <c:pt idx="11">
                  <c:v>Emissions directes procédés Saint-Etienne</c:v>
                </c:pt>
                <c:pt idx="12">
                  <c:v>Electricité EF (spécifique + chauffage)</c:v>
                </c:pt>
                <c:pt idx="13">
                  <c:v>Carburant (gazole)</c:v>
                </c:pt>
                <c:pt idx="14">
                  <c:v>Electricité (CIS SE)</c:v>
                </c:pt>
                <c:pt idx="15">
                  <c:v>Achat chaleur (CIS)</c:v>
                </c:pt>
                <c:pt idx="16">
                  <c:v>Déchets </c:v>
                </c:pt>
                <c:pt idx="17">
                  <c:v>Emissions directes procédés Gardanne</c:v>
                </c:pt>
                <c:pt idx="18">
                  <c:v>Missions en train</c:v>
                </c:pt>
              </c:strCache>
            </c:strRef>
          </c:cat>
          <c:val>
            <c:numRef>
              <c:f>'Top19'!$F$2:$F$20</c:f>
              <c:numCache>
                <c:formatCode>0</c:formatCode>
                <c:ptCount val="19"/>
                <c:pt idx="0" formatCode="0.0">
                  <c:v>802.66713729453647</c:v>
                </c:pt>
                <c:pt idx="1">
                  <c:v>638.13671999999997</c:v>
                </c:pt>
                <c:pt idx="2">
                  <c:v>523.92925000000002</c:v>
                </c:pt>
                <c:pt idx="3">
                  <c:v>455.91030000000001</c:v>
                </c:pt>
                <c:pt idx="4">
                  <c:v>443.61402822000002</c:v>
                </c:pt>
                <c:pt idx="5">
                  <c:v>230.35702631999999</c:v>
                </c:pt>
                <c:pt idx="6">
                  <c:v>189.02700239999996</c:v>
                </c:pt>
                <c:pt idx="7">
                  <c:v>185.08394358000001</c:v>
                </c:pt>
                <c:pt idx="8">
                  <c:v>154.655756</c:v>
                </c:pt>
                <c:pt idx="9" formatCode="0.00">
                  <c:v>154.655756</c:v>
                </c:pt>
                <c:pt idx="10">
                  <c:v>91.972796899999963</c:v>
                </c:pt>
                <c:pt idx="11" formatCode="0.00">
                  <c:v>57.315415000000002</c:v>
                </c:pt>
                <c:pt idx="12" formatCode="0.0">
                  <c:v>43.395043299999998</c:v>
                </c:pt>
                <c:pt idx="13" formatCode="0.0">
                  <c:v>32.022956499999992</c:v>
                </c:pt>
                <c:pt idx="14">
                  <c:v>22.677996999999994</c:v>
                </c:pt>
                <c:pt idx="15" formatCode="0.00">
                  <c:v>22.370961000000001</c:v>
                </c:pt>
                <c:pt idx="16" formatCode="0.0">
                  <c:v>3.1842915000000001</c:v>
                </c:pt>
                <c:pt idx="17" formatCode="0.00">
                  <c:v>11.15705</c:v>
                </c:pt>
                <c:pt idx="18">
                  <c:v>1.5071611644</c:v>
                </c:pt>
              </c:numCache>
            </c:numRef>
          </c:val>
          <c:extLst>
            <c:ext xmlns:c16="http://schemas.microsoft.com/office/drawing/2014/chart" uri="{C3380CC4-5D6E-409C-BE32-E72D297353CC}">
              <c16:uniqueId val="{00000002-E142-4145-A14D-D8BE8F6F3CD2}"/>
            </c:ext>
          </c:extLst>
        </c:ser>
        <c:dLbls>
          <c:showLegendKey val="0"/>
          <c:showVal val="0"/>
          <c:showCatName val="0"/>
          <c:showSerName val="0"/>
          <c:showPercent val="0"/>
          <c:showBubbleSize val="0"/>
        </c:dLbls>
        <c:gapWidth val="219"/>
        <c:overlap val="-27"/>
        <c:axId val="433247888"/>
        <c:axId val="433260352"/>
      </c:barChart>
      <c:catAx>
        <c:axId val="433247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33260352"/>
        <c:crosses val="autoZero"/>
        <c:auto val="1"/>
        <c:lblAlgn val="ctr"/>
        <c:lblOffset val="100"/>
        <c:noMultiLvlLbl val="0"/>
      </c:catAx>
      <c:valAx>
        <c:axId val="433260352"/>
        <c:scaling>
          <c:orientation val="minMax"/>
          <c:max val="9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332478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38</xdr:col>
      <xdr:colOff>321468</xdr:colOff>
      <xdr:row>43</xdr:row>
      <xdr:rowOff>0</xdr:rowOff>
    </xdr:from>
    <xdr:to>
      <xdr:col>39</xdr:col>
      <xdr:colOff>500061</xdr:colOff>
      <xdr:row>43</xdr:row>
      <xdr:rowOff>464344</xdr:rowOff>
    </xdr:to>
    <xdr:sp macro="" textlink="">
      <xdr:nvSpPr>
        <xdr:cNvPr id="2" name="Triangle isocèle 1"/>
        <xdr:cNvSpPr/>
      </xdr:nvSpPr>
      <xdr:spPr>
        <a:xfrm>
          <a:off x="30360937" y="11275219"/>
          <a:ext cx="511968" cy="464344"/>
        </a:xfrm>
        <a:prstGeom prs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76200</xdr:colOff>
      <xdr:row>37</xdr:row>
      <xdr:rowOff>19050</xdr:rowOff>
    </xdr:from>
    <xdr:to>
      <xdr:col>21</xdr:col>
      <xdr:colOff>76200</xdr:colOff>
      <xdr:row>53</xdr:row>
      <xdr:rowOff>66675</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51705</xdr:colOff>
      <xdr:row>1</xdr:row>
      <xdr:rowOff>141514</xdr:rowOff>
    </xdr:from>
    <xdr:to>
      <xdr:col>21</xdr:col>
      <xdr:colOff>489856</xdr:colOff>
      <xdr:row>11</xdr:row>
      <xdr:rowOff>23132</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47625</xdr:colOff>
      <xdr:row>11</xdr:row>
      <xdr:rowOff>104775</xdr:rowOff>
    </xdr:from>
    <xdr:to>
      <xdr:col>21</xdr:col>
      <xdr:colOff>489857</xdr:colOff>
      <xdr:row>19</xdr:row>
      <xdr:rowOff>161925</xdr:rowOff>
    </xdr:to>
    <xdr:graphicFrame macro="">
      <xdr:nvGraphicFramePr>
        <xdr:cNvPr id="7" name="Graphique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40820</xdr:colOff>
      <xdr:row>20</xdr:row>
      <xdr:rowOff>6804</xdr:rowOff>
    </xdr:from>
    <xdr:to>
      <xdr:col>21</xdr:col>
      <xdr:colOff>511629</xdr:colOff>
      <xdr:row>36</xdr:row>
      <xdr:rowOff>119743</xdr:rowOff>
    </xdr:to>
    <xdr:graphicFrame macro="">
      <xdr:nvGraphicFramePr>
        <xdr:cNvPr id="9" name="Graphique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276225</xdr:colOff>
      <xdr:row>3</xdr:row>
      <xdr:rowOff>552449</xdr:rowOff>
    </xdr:from>
    <xdr:to>
      <xdr:col>16</xdr:col>
      <xdr:colOff>219075</xdr:colOff>
      <xdr:row>25</xdr:row>
      <xdr:rowOff>19049</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mse2000\admindfs\Developpement-durable\Bilan%20carbone\Bilan%20Carbone%202018\Donn&#233;es%202017\Bilan%20Carbone_EMSE_2017%20JF_version%20comparab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nées de consommation"/>
      <sheetName val="Emissions 2010_2014_2017"/>
      <sheetName val="Resultats_2010_2014_2017"/>
      <sheetName val="Top15_2014"/>
      <sheetName val="Top15_2017"/>
      <sheetName val="Emissions évitées"/>
    </sheetNames>
    <sheetDataSet>
      <sheetData sheetId="0">
        <row r="39">
          <cell r="E39">
            <v>11.4</v>
          </cell>
        </row>
        <row r="42">
          <cell r="E42">
            <v>4.8</v>
          </cell>
          <cell r="H42">
            <v>1.52</v>
          </cell>
          <cell r="K42">
            <v>0.96</v>
          </cell>
        </row>
        <row r="43">
          <cell r="K43">
            <v>49.22</v>
          </cell>
        </row>
      </sheetData>
      <sheetData sheetId="1"/>
      <sheetData sheetId="2"/>
      <sheetData sheetId="3"/>
      <sheetData sheetId="4"/>
      <sheetData sheetId="5">
        <row r="7">
          <cell r="C7">
            <v>3.3000000000000002E-2</v>
          </cell>
        </row>
        <row r="10">
          <cell r="D10">
            <v>-2.0569999999999999</v>
          </cell>
          <cell r="N10">
            <v>-2.0569999999999999</v>
          </cell>
          <cell r="V10">
            <v>-2.0569999999999999</v>
          </cell>
        </row>
        <row r="11">
          <cell r="V11">
            <v>-9.4700000000000006E-2</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S207"/>
  <sheetViews>
    <sheetView zoomScale="90" zoomScaleNormal="90" workbookViewId="0">
      <pane xSplit="4" ySplit="6" topLeftCell="E39" activePane="bottomRight" state="frozen"/>
      <selection pane="topRight" activeCell="D1" sqref="D1"/>
      <selection pane="bottomLeft" activeCell="A7" sqref="A7"/>
      <selection pane="bottomRight" activeCell="G44" sqref="G44:G50"/>
    </sheetView>
    <sheetView workbookViewId="1"/>
  </sheetViews>
  <sheetFormatPr baseColWidth="10" defaultColWidth="11.42578125" defaultRowHeight="12.75" x14ac:dyDescent="0.2"/>
  <cols>
    <col min="1" max="1" width="2.7109375" style="1" customWidth="1"/>
    <col min="2" max="3" width="19" style="1" customWidth="1"/>
    <col min="4" max="4" width="14.5703125" style="1" customWidth="1"/>
    <col min="5" max="6" width="9.28515625" style="1" customWidth="1"/>
    <col min="7" max="7" width="12.85546875" style="19" customWidth="1"/>
    <col min="8" max="8" width="12.140625" style="19" customWidth="1"/>
    <col min="9" max="10" width="11.42578125" style="19"/>
    <col min="11" max="11" width="13.5703125" style="19" bestFit="1" customWidth="1"/>
    <col min="12" max="13" width="11.42578125" style="19"/>
    <col min="14" max="14" width="4.7109375" style="19" customWidth="1"/>
    <col min="15" max="16" width="11.42578125" style="19"/>
    <col min="17" max="17" width="15.140625" style="19" customWidth="1"/>
    <col min="18" max="123" width="11.42578125" style="16"/>
    <col min="124" max="16384" width="11.42578125" style="1"/>
  </cols>
  <sheetData>
    <row r="1" spans="1:123" ht="13.5" thickBot="1" x14ac:dyDescent="0.25"/>
    <row r="2" spans="1:123" ht="38.25" customHeight="1" thickBot="1" x14ac:dyDescent="0.35">
      <c r="B2" s="1089" t="s">
        <v>185</v>
      </c>
      <c r="C2" s="1090"/>
      <c r="D2" s="1091"/>
      <c r="E2" s="1067" t="s">
        <v>0</v>
      </c>
      <c r="F2" s="1068"/>
      <c r="H2" s="1063" t="s">
        <v>81</v>
      </c>
      <c r="I2" s="1064"/>
      <c r="K2" s="1063" t="s">
        <v>81</v>
      </c>
      <c r="L2" s="1064"/>
      <c r="O2" s="662" t="s">
        <v>140</v>
      </c>
      <c r="P2" s="656"/>
      <c r="Q2" s="657" t="s">
        <v>169</v>
      </c>
    </row>
    <row r="3" spans="1:123" ht="29.25" customHeight="1" thickBot="1" x14ac:dyDescent="0.25">
      <c r="D3" s="9"/>
      <c r="E3" s="1072" t="s">
        <v>17</v>
      </c>
      <c r="F3" s="1073"/>
      <c r="H3" s="1065" t="s">
        <v>86</v>
      </c>
      <c r="I3" s="1066"/>
      <c r="K3" s="1065" t="s">
        <v>126</v>
      </c>
      <c r="L3" s="1066"/>
      <c r="P3" s="658"/>
      <c r="Q3" s="657" t="s">
        <v>141</v>
      </c>
    </row>
    <row r="4" spans="1:123" ht="13.5" thickBot="1" x14ac:dyDescent="0.25">
      <c r="B4" s="171"/>
      <c r="C4" s="1079" t="s">
        <v>106</v>
      </c>
      <c r="D4" s="1080"/>
      <c r="E4" s="236">
        <v>323</v>
      </c>
      <c r="F4" s="178"/>
      <c r="H4" s="180">
        <v>329</v>
      </c>
      <c r="I4" s="201"/>
      <c r="K4" s="180">
        <v>319</v>
      </c>
      <c r="L4" s="201"/>
      <c r="N4" s="663"/>
      <c r="P4" s="659"/>
      <c r="Q4" s="657" t="s">
        <v>142</v>
      </c>
    </row>
    <row r="5" spans="1:123" ht="13.5" thickBot="1" x14ac:dyDescent="0.25">
      <c r="B5" s="171"/>
      <c r="C5" s="1081" t="s">
        <v>93</v>
      </c>
      <c r="D5" s="1082"/>
      <c r="E5" s="236">
        <v>436</v>
      </c>
      <c r="F5" s="178"/>
      <c r="H5" s="200">
        <v>410</v>
      </c>
      <c r="I5" s="181"/>
      <c r="K5" s="200">
        <v>418</v>
      </c>
      <c r="L5" s="181"/>
      <c r="N5" s="438"/>
      <c r="P5" s="660"/>
      <c r="Q5" s="657" t="s">
        <v>143</v>
      </c>
    </row>
    <row r="6" spans="1:123" ht="13.5" customHeight="1" thickBot="1" x14ac:dyDescent="0.25">
      <c r="B6" s="172"/>
      <c r="C6" s="1079" t="s">
        <v>44</v>
      </c>
      <c r="D6" s="1080"/>
      <c r="E6" s="237">
        <v>215</v>
      </c>
      <c r="F6" s="179"/>
      <c r="H6" s="182">
        <v>216</v>
      </c>
      <c r="I6" s="183"/>
      <c r="K6" s="479">
        <f>1607/7.5</f>
        <v>214.26666666666668</v>
      </c>
      <c r="L6" s="183"/>
      <c r="N6" s="438"/>
      <c r="P6" s="661"/>
      <c r="Q6" s="657" t="s">
        <v>144</v>
      </c>
    </row>
    <row r="7" spans="1:123" s="2" customFormat="1" ht="26.25" thickBot="1" x14ac:dyDescent="0.25">
      <c r="A7" s="1"/>
      <c r="B7" s="11" t="s">
        <v>159</v>
      </c>
      <c r="C7" s="1067" t="s">
        <v>4</v>
      </c>
      <c r="D7" s="1068"/>
      <c r="E7" s="173"/>
      <c r="F7" s="174" t="s">
        <v>10</v>
      </c>
      <c r="G7" s="170"/>
      <c r="H7" s="176"/>
      <c r="I7" s="177" t="s">
        <v>10</v>
      </c>
      <c r="J7" s="38"/>
      <c r="K7" s="176"/>
      <c r="L7" s="177" t="s">
        <v>10</v>
      </c>
      <c r="M7" s="38"/>
      <c r="N7" s="38"/>
      <c r="O7" s="38"/>
      <c r="P7" s="38"/>
      <c r="Q7" s="38"/>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row>
    <row r="8" spans="1:123" s="4" customFormat="1" x14ac:dyDescent="0.2">
      <c r="A8" s="1"/>
      <c r="B8" s="1074" t="s">
        <v>3</v>
      </c>
      <c r="C8" s="1085" t="s">
        <v>12</v>
      </c>
      <c r="D8" s="1086"/>
      <c r="E8" s="220">
        <v>3215186</v>
      </c>
      <c r="F8" s="221" t="s">
        <v>75</v>
      </c>
      <c r="G8" s="39"/>
      <c r="H8" s="175">
        <v>2201992</v>
      </c>
      <c r="I8" s="119" t="s">
        <v>85</v>
      </c>
      <c r="J8" s="19"/>
      <c r="K8" s="175">
        <v>2832050</v>
      </c>
      <c r="L8" s="119" t="s">
        <v>85</v>
      </c>
      <c r="M8" s="19"/>
      <c r="N8" s="438"/>
      <c r="O8" s="19"/>
      <c r="P8" s="19"/>
      <c r="Q8" s="19"/>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row>
    <row r="9" spans="1:123" s="4" customFormat="1" x14ac:dyDescent="0.2">
      <c r="A9" s="1"/>
      <c r="B9" s="1075"/>
      <c r="C9" s="1047" t="s">
        <v>13</v>
      </c>
      <c r="D9" s="1048"/>
      <c r="E9" s="222">
        <v>2665488</v>
      </c>
      <c r="F9" s="222" t="s">
        <v>75</v>
      </c>
      <c r="G9" s="19"/>
      <c r="H9" s="41">
        <v>1872231</v>
      </c>
      <c r="I9" s="54" t="s">
        <v>85</v>
      </c>
      <c r="J9" s="19"/>
      <c r="K9" s="41">
        <v>2464380</v>
      </c>
      <c r="L9" s="54" t="s">
        <v>85</v>
      </c>
      <c r="M9" s="19"/>
      <c r="N9" s="438"/>
      <c r="O9" s="19"/>
      <c r="P9" s="19"/>
      <c r="Q9" s="19"/>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row>
    <row r="10" spans="1:123" s="4" customFormat="1" x14ac:dyDescent="0.2">
      <c r="A10" s="1"/>
      <c r="B10" s="1075"/>
      <c r="C10" s="1047" t="s">
        <v>14</v>
      </c>
      <c r="D10" s="1048"/>
      <c r="E10" s="222">
        <v>20052</v>
      </c>
      <c r="F10" s="222" t="s">
        <v>16</v>
      </c>
      <c r="G10" s="39"/>
      <c r="H10" s="41">
        <v>15906.2</v>
      </c>
      <c r="I10" s="54" t="s">
        <v>16</v>
      </c>
      <c r="J10" s="19"/>
      <c r="K10" s="41">
        <v>12758.15</v>
      </c>
      <c r="L10" s="54" t="s">
        <v>16</v>
      </c>
      <c r="M10" s="19"/>
      <c r="N10" s="438"/>
      <c r="O10" s="19"/>
      <c r="P10" s="19"/>
      <c r="Q10" s="19"/>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row>
    <row r="11" spans="1:123" s="4" customFormat="1" x14ac:dyDescent="0.2">
      <c r="A11" s="1"/>
      <c r="B11" s="1075"/>
      <c r="C11" s="1047" t="s">
        <v>15</v>
      </c>
      <c r="D11" s="1048"/>
      <c r="E11" s="222">
        <v>737.13</v>
      </c>
      <c r="F11" s="222" t="s">
        <v>16</v>
      </c>
      <c r="G11" s="19"/>
      <c r="H11" s="41">
        <v>10</v>
      </c>
      <c r="I11" s="54" t="s">
        <v>16</v>
      </c>
      <c r="J11" s="19"/>
      <c r="K11" s="41">
        <v>5.99</v>
      </c>
      <c r="L11" s="54" t="s">
        <v>16</v>
      </c>
      <c r="M11" s="19"/>
      <c r="N11" s="438"/>
      <c r="O11" s="19"/>
      <c r="P11" s="19"/>
      <c r="Q11" s="19"/>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row>
    <row r="12" spans="1:123" s="4" customFormat="1" x14ac:dyDescent="0.2">
      <c r="A12" s="1"/>
      <c r="B12" s="1075"/>
      <c r="C12" s="1047" t="s">
        <v>78</v>
      </c>
      <c r="D12" s="1048"/>
      <c r="E12" s="223">
        <v>595</v>
      </c>
      <c r="F12" s="222" t="s">
        <v>66</v>
      </c>
      <c r="G12" s="19"/>
      <c r="H12" s="41">
        <v>595</v>
      </c>
      <c r="I12" s="54" t="s">
        <v>107</v>
      </c>
      <c r="J12" s="19"/>
      <c r="K12" s="41">
        <v>595</v>
      </c>
      <c r="L12" s="54" t="s">
        <v>107</v>
      </c>
      <c r="M12" s="19"/>
      <c r="N12" s="438"/>
      <c r="O12" s="19"/>
      <c r="P12" s="19"/>
      <c r="Q12" s="19"/>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row>
    <row r="13" spans="1:123" s="4" customFormat="1" ht="13.5" thickBot="1" x14ac:dyDescent="0.25">
      <c r="A13" s="1"/>
      <c r="B13" s="1075"/>
      <c r="C13" s="1047" t="s">
        <v>79</v>
      </c>
      <c r="D13" s="1048"/>
      <c r="E13" s="224">
        <f>100</f>
        <v>100</v>
      </c>
      <c r="F13" s="225" t="s">
        <v>66</v>
      </c>
      <c r="G13" s="19"/>
      <c r="H13" s="117">
        <v>89.9</v>
      </c>
      <c r="I13" s="115" t="s">
        <v>107</v>
      </c>
      <c r="J13" s="19"/>
      <c r="K13" s="117">
        <v>134.5</v>
      </c>
      <c r="L13" s="115" t="s">
        <v>107</v>
      </c>
      <c r="M13" s="19"/>
      <c r="N13" s="528"/>
      <c r="O13" s="19"/>
      <c r="P13" s="19"/>
      <c r="Q13" s="19"/>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row>
    <row r="14" spans="1:123" s="4" customFormat="1" ht="13.5" thickBot="1" x14ac:dyDescent="0.25">
      <c r="A14" s="1"/>
      <c r="B14" s="1075"/>
      <c r="C14" s="1047" t="s">
        <v>92</v>
      </c>
      <c r="D14" s="1048"/>
      <c r="E14" s="233">
        <f>1731.4</f>
        <v>1731.4</v>
      </c>
      <c r="F14" s="226" t="s">
        <v>66</v>
      </c>
      <c r="G14" s="19"/>
      <c r="H14" s="232">
        <v>1682</v>
      </c>
      <c r="I14" s="120" t="s">
        <v>107</v>
      </c>
      <c r="J14" s="19"/>
      <c r="K14" s="232">
        <v>1143.9000000000001</v>
      </c>
      <c r="L14" s="120" t="s">
        <v>107</v>
      </c>
      <c r="M14" s="19"/>
      <c r="N14" s="593"/>
      <c r="O14" s="19"/>
      <c r="P14" s="19"/>
      <c r="Q14" s="19"/>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row>
    <row r="15" spans="1:123" s="4" customFormat="1" ht="27.75" customHeight="1" x14ac:dyDescent="0.2">
      <c r="A15" s="1"/>
      <c r="B15" s="1075"/>
      <c r="C15" s="1087" t="s">
        <v>55</v>
      </c>
      <c r="D15" s="1088"/>
      <c r="E15" s="227">
        <v>2.61</v>
      </c>
      <c r="F15" s="228" t="s">
        <v>63</v>
      </c>
      <c r="G15" s="19"/>
      <c r="H15" s="114">
        <v>2.35</v>
      </c>
      <c r="I15" s="119" t="s">
        <v>90</v>
      </c>
      <c r="J15" s="19"/>
      <c r="K15" s="114">
        <v>2.35</v>
      </c>
      <c r="L15" s="119" t="s">
        <v>90</v>
      </c>
      <c r="M15" s="19"/>
      <c r="N15" s="528"/>
      <c r="O15" s="19"/>
      <c r="P15" s="19"/>
      <c r="Q15" s="19"/>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row>
    <row r="16" spans="1:123" s="4" customFormat="1" ht="25.5" customHeight="1" x14ac:dyDescent="0.2">
      <c r="A16" s="1"/>
      <c r="B16" s="1075"/>
      <c r="C16" s="1047" t="s">
        <v>54</v>
      </c>
      <c r="D16" s="1048"/>
      <c r="E16" s="223">
        <v>0</v>
      </c>
      <c r="F16" s="222" t="s">
        <v>63</v>
      </c>
      <c r="G16" s="19"/>
      <c r="H16" s="41">
        <v>0</v>
      </c>
      <c r="I16" s="54" t="s">
        <v>90</v>
      </c>
      <c r="J16" s="19"/>
      <c r="K16" s="41">
        <v>0</v>
      </c>
      <c r="L16" s="54" t="s">
        <v>90</v>
      </c>
      <c r="M16" s="19"/>
      <c r="N16" s="438"/>
      <c r="O16" s="19"/>
      <c r="P16" s="19"/>
      <c r="Q16" s="19"/>
      <c r="R16" s="665"/>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row>
    <row r="17" spans="1:123" s="4" customFormat="1" ht="25.5" customHeight="1" x14ac:dyDescent="0.2">
      <c r="A17" s="1"/>
      <c r="B17" s="1075"/>
      <c r="C17" s="1047" t="s">
        <v>53</v>
      </c>
      <c r="D17" s="1048"/>
      <c r="E17" s="229">
        <v>14.29</v>
      </c>
      <c r="F17" s="222" t="s">
        <v>63</v>
      </c>
      <c r="G17" s="19"/>
      <c r="H17" s="131">
        <v>21.75</v>
      </c>
      <c r="I17" s="54" t="s">
        <v>90</v>
      </c>
      <c r="J17" s="19"/>
      <c r="K17" s="41">
        <v>14.6</v>
      </c>
      <c r="L17" s="54" t="s">
        <v>90</v>
      </c>
      <c r="M17" s="19"/>
      <c r="N17" s="438"/>
      <c r="O17" s="19"/>
      <c r="P17" s="48"/>
      <c r="Q17" s="48"/>
      <c r="R17" s="665"/>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row>
    <row r="18" spans="1:123" s="4" customFormat="1" ht="24.75" customHeight="1" x14ac:dyDescent="0.2">
      <c r="A18" s="1"/>
      <c r="B18" s="1075"/>
      <c r="C18" s="1047" t="s">
        <v>56</v>
      </c>
      <c r="D18" s="1048"/>
      <c r="E18" s="223">
        <v>560</v>
      </c>
      <c r="F18" s="222" t="s">
        <v>63</v>
      </c>
      <c r="G18" s="19"/>
      <c r="H18" s="41">
        <v>150</v>
      </c>
      <c r="I18" s="54" t="s">
        <v>90</v>
      </c>
      <c r="J18" s="19"/>
      <c r="K18" s="41">
        <v>296.5</v>
      </c>
      <c r="L18" s="54" t="s">
        <v>90</v>
      </c>
      <c r="M18" s="19"/>
      <c r="N18" s="438"/>
      <c r="O18" s="19"/>
      <c r="P18" s="19"/>
      <c r="Q18" s="19"/>
      <c r="R18" s="665"/>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row>
    <row r="19" spans="1:123" s="4" customFormat="1" ht="24.75" customHeight="1" thickBot="1" x14ac:dyDescent="0.25">
      <c r="A19" s="1"/>
      <c r="B19" s="1075"/>
      <c r="C19" s="1047" t="s">
        <v>57</v>
      </c>
      <c r="D19" s="1048"/>
      <c r="E19" s="230">
        <v>49</v>
      </c>
      <c r="F19" s="225" t="s">
        <v>63</v>
      </c>
      <c r="G19" s="19"/>
      <c r="H19" s="44">
        <v>24</v>
      </c>
      <c r="I19" s="115" t="s">
        <v>90</v>
      </c>
      <c r="J19" s="19"/>
      <c r="K19" s="44">
        <v>52</v>
      </c>
      <c r="L19" s="115" t="s">
        <v>90</v>
      </c>
      <c r="M19" s="19"/>
      <c r="N19" s="438"/>
      <c r="O19" s="19"/>
      <c r="P19" s="48"/>
      <c r="Q19" s="48"/>
      <c r="R19" s="665"/>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row>
    <row r="20" spans="1:123" s="4" customFormat="1" ht="24.75" customHeight="1" x14ac:dyDescent="0.2">
      <c r="A20" s="1"/>
      <c r="B20" s="1075"/>
      <c r="C20" s="1087" t="s">
        <v>58</v>
      </c>
      <c r="D20" s="1088"/>
      <c r="E20" s="228">
        <v>2.87E-2</v>
      </c>
      <c r="F20" s="221" t="s">
        <v>63</v>
      </c>
      <c r="G20" s="19"/>
      <c r="H20" s="228">
        <v>2.87E-2</v>
      </c>
      <c r="I20" s="116" t="s">
        <v>90</v>
      </c>
      <c r="J20" s="19"/>
      <c r="K20" s="114">
        <v>2.87E-2</v>
      </c>
      <c r="L20" s="116" t="s">
        <v>90</v>
      </c>
      <c r="M20" s="19"/>
      <c r="N20" s="528"/>
      <c r="O20" s="19"/>
      <c r="P20" s="48"/>
      <c r="Q20" s="48"/>
      <c r="R20" s="665"/>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row>
    <row r="21" spans="1:123" s="4" customFormat="1" ht="23.25" customHeight="1" x14ac:dyDescent="0.2">
      <c r="A21" s="1"/>
      <c r="B21" s="1075"/>
      <c r="C21" s="1047" t="s">
        <v>59</v>
      </c>
      <c r="D21" s="1048"/>
      <c r="E21" s="223">
        <v>3.12</v>
      </c>
      <c r="F21" s="222" t="s">
        <v>63</v>
      </c>
      <c r="G21" s="19"/>
      <c r="H21" s="41">
        <v>3.12</v>
      </c>
      <c r="I21" s="54" t="s">
        <v>90</v>
      </c>
      <c r="J21" s="19"/>
      <c r="K21" s="41">
        <v>0</v>
      </c>
      <c r="L21" s="54" t="s">
        <v>90</v>
      </c>
      <c r="M21" s="19"/>
      <c r="N21" s="438"/>
      <c r="O21" s="19"/>
      <c r="P21" s="48"/>
      <c r="Q21" s="48"/>
      <c r="R21" s="665"/>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row>
    <row r="22" spans="1:123" s="4" customFormat="1" ht="24.75" customHeight="1" x14ac:dyDescent="0.2">
      <c r="A22" s="1"/>
      <c r="B22" s="1075"/>
      <c r="C22" s="1047" t="s">
        <v>60</v>
      </c>
      <c r="D22" s="1048"/>
      <c r="E22" s="223">
        <v>0</v>
      </c>
      <c r="F22" s="222" t="s">
        <v>63</v>
      </c>
      <c r="G22" s="19"/>
      <c r="H22" s="41">
        <v>0</v>
      </c>
      <c r="I22" s="54" t="s">
        <v>90</v>
      </c>
      <c r="J22" s="19"/>
      <c r="K22" s="41">
        <v>0</v>
      </c>
      <c r="L22" s="54" t="s">
        <v>90</v>
      </c>
      <c r="M22" s="19"/>
      <c r="N22" s="438"/>
      <c r="O22" s="19"/>
      <c r="P22" s="48"/>
      <c r="Q22" s="48"/>
      <c r="R22" s="665"/>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row>
    <row r="23" spans="1:123" s="4" customFormat="1" ht="27" customHeight="1" x14ac:dyDescent="0.2">
      <c r="A23" s="1"/>
      <c r="B23" s="1075"/>
      <c r="C23" s="1047" t="s">
        <v>61</v>
      </c>
      <c r="D23" s="1048"/>
      <c r="E23" s="223">
        <v>290</v>
      </c>
      <c r="F23" s="222" t="s">
        <v>63</v>
      </c>
      <c r="G23" s="19"/>
      <c r="H23" s="41">
        <v>14</v>
      </c>
      <c r="I23" s="54" t="s">
        <v>90</v>
      </c>
      <c r="J23" s="19"/>
      <c r="K23" s="41">
        <v>187.5</v>
      </c>
      <c r="L23" s="54" t="s">
        <v>90</v>
      </c>
      <c r="M23" s="19"/>
      <c r="N23" s="438"/>
      <c r="O23" s="19"/>
      <c r="P23" s="19"/>
      <c r="Q23" s="19"/>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row>
    <row r="24" spans="1:123" s="4" customFormat="1" ht="25.5" customHeight="1" thickBot="1" x14ac:dyDescent="0.25">
      <c r="A24" s="1"/>
      <c r="B24" s="1075"/>
      <c r="C24" s="1047" t="s">
        <v>62</v>
      </c>
      <c r="D24" s="1048"/>
      <c r="E24" s="230">
        <v>0</v>
      </c>
      <c r="F24" s="225" t="s">
        <v>63</v>
      </c>
      <c r="G24" s="19"/>
      <c r="H24" s="117">
        <v>0</v>
      </c>
      <c r="I24" s="118" t="s">
        <v>90</v>
      </c>
      <c r="J24" s="19"/>
      <c r="K24" s="117">
        <v>0</v>
      </c>
      <c r="L24" s="118" t="s">
        <v>90</v>
      </c>
      <c r="M24" s="19"/>
      <c r="N24" s="438"/>
      <c r="O24" s="19"/>
      <c r="P24" s="19"/>
      <c r="Q24" s="19"/>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row>
    <row r="25" spans="1:123" s="4" customFormat="1" ht="13.5" thickBot="1" x14ac:dyDescent="0.25">
      <c r="A25" s="1"/>
      <c r="B25" s="1075"/>
      <c r="C25" s="1049" t="s">
        <v>18</v>
      </c>
      <c r="D25" s="1050"/>
      <c r="E25" s="109"/>
      <c r="F25" s="158"/>
      <c r="G25" s="19"/>
      <c r="H25" s="157"/>
      <c r="I25" s="159"/>
      <c r="J25" s="19"/>
      <c r="K25" s="157"/>
      <c r="L25" s="159"/>
      <c r="M25" s="19"/>
      <c r="N25" s="19"/>
      <c r="O25" s="19"/>
      <c r="P25" s="19"/>
      <c r="Q25" s="19"/>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row>
    <row r="26" spans="1:123" s="3" customFormat="1" ht="13.5" thickBot="1" x14ac:dyDescent="0.25">
      <c r="A26" s="1"/>
      <c r="B26" s="1075"/>
      <c r="C26" s="1051" t="s">
        <v>2</v>
      </c>
      <c r="D26" s="1052"/>
      <c r="E26" s="10"/>
      <c r="F26" s="10"/>
      <c r="G26" s="38"/>
      <c r="H26" s="46">
        <f>H8+H9</f>
        <v>4074223</v>
      </c>
      <c r="I26" s="46" t="s">
        <v>83</v>
      </c>
      <c r="J26" s="38"/>
      <c r="K26" s="46">
        <f>K8+K9</f>
        <v>5296430</v>
      </c>
      <c r="L26" s="46" t="s">
        <v>83</v>
      </c>
      <c r="M26" s="38"/>
      <c r="N26" s="526"/>
      <c r="O26" s="38"/>
      <c r="P26" s="38"/>
      <c r="Q26" s="38"/>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row>
    <row r="27" spans="1:123" s="5" customFormat="1" ht="12.75" customHeight="1" x14ac:dyDescent="0.2">
      <c r="A27" s="1"/>
      <c r="B27" s="1076" t="s">
        <v>8</v>
      </c>
      <c r="C27" s="1053" t="s">
        <v>19</v>
      </c>
      <c r="D27" s="1054"/>
      <c r="E27" s="215">
        <v>1961124</v>
      </c>
      <c r="F27" s="215" t="s">
        <v>11</v>
      </c>
      <c r="G27" s="19"/>
      <c r="H27" s="45">
        <v>1800600</v>
      </c>
      <c r="I27" s="55" t="s">
        <v>83</v>
      </c>
      <c r="J27" s="19"/>
      <c r="K27" s="669">
        <f>1421527-K28</f>
        <v>1420158.8485999999</v>
      </c>
      <c r="L27" s="55" t="s">
        <v>83</v>
      </c>
      <c r="M27" s="19"/>
      <c r="N27" s="438"/>
      <c r="O27" s="19"/>
      <c r="P27" s="19"/>
      <c r="Q27" s="19"/>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row>
    <row r="28" spans="1:123" s="5" customFormat="1" ht="12.75" customHeight="1" x14ac:dyDescent="0.2">
      <c r="A28" s="1"/>
      <c r="B28" s="1077"/>
      <c r="C28" s="1043" t="s">
        <v>176</v>
      </c>
      <c r="D28" s="1044"/>
      <c r="E28" s="666"/>
      <c r="F28" s="666"/>
      <c r="G28" s="19"/>
      <c r="H28" s="667"/>
      <c r="I28" s="668"/>
      <c r="J28" s="19"/>
      <c r="K28" s="669">
        <f>(5164+3453+2625)/100*12.17</f>
        <v>1368.1514</v>
      </c>
      <c r="L28" s="55" t="s">
        <v>83</v>
      </c>
      <c r="M28" s="19"/>
      <c r="N28" s="528"/>
      <c r="O28" s="1039" t="s">
        <v>175</v>
      </c>
      <c r="P28" s="1039"/>
      <c r="Q28" s="1039"/>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row>
    <row r="29" spans="1:123" s="5" customFormat="1" ht="27.75" customHeight="1" x14ac:dyDescent="0.2">
      <c r="A29" s="1"/>
      <c r="B29" s="1077"/>
      <c r="C29" s="1043" t="s">
        <v>36</v>
      </c>
      <c r="D29" s="1044"/>
      <c r="E29" s="219">
        <v>263850.5</v>
      </c>
      <c r="F29" s="215" t="s">
        <v>11</v>
      </c>
      <c r="G29" s="19"/>
      <c r="H29" s="60">
        <v>276082</v>
      </c>
      <c r="I29" s="56" t="s">
        <v>83</v>
      </c>
      <c r="J29" s="19"/>
      <c r="K29" s="60">
        <v>266099</v>
      </c>
      <c r="L29" s="56" t="s">
        <v>83</v>
      </c>
      <c r="M29" s="19"/>
      <c r="N29" s="663"/>
      <c r="O29" s="19"/>
      <c r="P29" s="19"/>
      <c r="Q29" s="19"/>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row>
    <row r="30" spans="1:123" s="5" customFormat="1" ht="15" customHeight="1" x14ac:dyDescent="0.2">
      <c r="A30" s="1"/>
      <c r="B30" s="1077"/>
      <c r="C30" s="1045" t="s">
        <v>37</v>
      </c>
      <c r="D30" s="1046"/>
      <c r="E30" s="219">
        <v>214485.5</v>
      </c>
      <c r="F30" s="215"/>
      <c r="G30" s="19"/>
      <c r="H30" s="60">
        <v>115597</v>
      </c>
      <c r="I30" s="56" t="s">
        <v>83</v>
      </c>
      <c r="J30" s="19"/>
      <c r="K30" s="60">
        <v>154902</v>
      </c>
      <c r="L30" s="56" t="s">
        <v>83</v>
      </c>
      <c r="M30" s="19"/>
      <c r="N30" s="438"/>
      <c r="O30" s="19"/>
      <c r="P30" s="19"/>
      <c r="Q30" s="19"/>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row>
    <row r="31" spans="1:123" s="5" customFormat="1" ht="12.75" customHeight="1" x14ac:dyDescent="0.2">
      <c r="A31" s="1"/>
      <c r="B31" s="1077"/>
      <c r="C31" s="1043" t="s">
        <v>20</v>
      </c>
      <c r="D31" s="1044"/>
      <c r="E31" s="215">
        <v>15853</v>
      </c>
      <c r="F31" s="215" t="s">
        <v>11</v>
      </c>
      <c r="G31" s="19"/>
      <c r="H31" s="43">
        <v>11914</v>
      </c>
      <c r="I31" s="56" t="s">
        <v>83</v>
      </c>
      <c r="J31" s="19"/>
      <c r="K31" s="43">
        <v>2578</v>
      </c>
      <c r="L31" s="56" t="s">
        <v>83</v>
      </c>
      <c r="M31" s="19"/>
      <c r="N31" s="438"/>
      <c r="O31" s="19"/>
      <c r="P31" s="19"/>
      <c r="Q31" s="19"/>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row>
    <row r="32" spans="1:123" s="5" customFormat="1" ht="14.25" customHeight="1" x14ac:dyDescent="0.2">
      <c r="A32" s="1"/>
      <c r="B32" s="1077"/>
      <c r="C32" s="1043" t="s">
        <v>21</v>
      </c>
      <c r="D32" s="1044"/>
      <c r="E32" s="433">
        <v>2452677</v>
      </c>
      <c r="F32" s="244" t="s">
        <v>11</v>
      </c>
      <c r="G32" s="19"/>
      <c r="H32" s="432">
        <v>2724183</v>
      </c>
      <c r="I32" s="248" t="s">
        <v>83</v>
      </c>
      <c r="J32" s="19"/>
      <c r="K32" s="432">
        <v>2921592</v>
      </c>
      <c r="L32" s="248" t="s">
        <v>83</v>
      </c>
      <c r="M32" s="19"/>
      <c r="N32" s="438"/>
      <c r="O32" s="19"/>
      <c r="P32" s="19"/>
      <c r="Q32" s="19"/>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row>
    <row r="33" spans="1:123" s="5" customFormat="1" ht="12.75" customHeight="1" thickBot="1" x14ac:dyDescent="0.25">
      <c r="A33" s="1"/>
      <c r="B33" s="1077"/>
      <c r="C33" s="1043" t="s">
        <v>127</v>
      </c>
      <c r="D33" s="1044"/>
      <c r="E33" s="434"/>
      <c r="F33" s="435"/>
      <c r="G33" s="19"/>
      <c r="H33" s="436"/>
      <c r="I33" s="437"/>
      <c r="J33" s="19"/>
      <c r="K33" s="670">
        <v>350510</v>
      </c>
      <c r="L33" s="248" t="s">
        <v>83</v>
      </c>
      <c r="M33" s="19"/>
      <c r="N33" s="438"/>
      <c r="O33" s="19"/>
      <c r="P33" s="19"/>
      <c r="Q33" s="19"/>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row>
    <row r="34" spans="1:123" s="5" customFormat="1" ht="37.5" customHeight="1" thickBot="1" x14ac:dyDescent="0.25">
      <c r="A34" s="1"/>
      <c r="B34" s="1077"/>
      <c r="C34" s="1055" t="s">
        <v>146</v>
      </c>
      <c r="D34" s="1056"/>
      <c r="E34" s="245"/>
      <c r="F34" s="246"/>
      <c r="G34" s="19"/>
      <c r="H34" s="157"/>
      <c r="I34" s="95"/>
      <c r="J34" s="19"/>
      <c r="K34" s="247">
        <v>117741.9</v>
      </c>
      <c r="L34" s="248" t="s">
        <v>83</v>
      </c>
      <c r="M34" s="19"/>
      <c r="N34" s="528"/>
      <c r="O34" s="19"/>
      <c r="P34" s="19"/>
      <c r="Q34" s="19"/>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row>
    <row r="35" spans="1:123" s="6" customFormat="1" ht="13.5" thickBot="1" x14ac:dyDescent="0.25">
      <c r="A35" s="1"/>
      <c r="B35" s="1078"/>
      <c r="C35" s="1057" t="s">
        <v>2</v>
      </c>
      <c r="D35" s="1058"/>
      <c r="E35" s="216"/>
      <c r="F35" s="216"/>
      <c r="G35" s="38"/>
      <c r="H35" s="430">
        <f>H27+H29+H30+H31+H33</f>
        <v>2204193</v>
      </c>
      <c r="I35" s="47"/>
      <c r="J35" s="38"/>
      <c r="K35" s="430">
        <f>SUM(K27:K34)</f>
        <v>5234949.9000000004</v>
      </c>
      <c r="L35" s="47" t="s">
        <v>83</v>
      </c>
      <c r="M35" s="38"/>
      <c r="N35" s="491"/>
      <c r="O35" s="38"/>
      <c r="P35" s="38"/>
      <c r="Q35" s="38"/>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c r="CH35" s="17"/>
      <c r="CI35" s="17"/>
      <c r="CJ35" s="17"/>
      <c r="CK35" s="17"/>
      <c r="CL35" s="17"/>
      <c r="CM35" s="17"/>
      <c r="CN35" s="17"/>
      <c r="CO35" s="17"/>
      <c r="CP35" s="17"/>
      <c r="CQ35" s="17"/>
      <c r="CR35" s="17"/>
      <c r="CS35" s="17"/>
      <c r="CT35" s="17"/>
      <c r="CU35" s="17"/>
      <c r="CV35" s="17"/>
      <c r="CW35" s="17"/>
      <c r="CX35" s="17"/>
      <c r="CY35" s="17"/>
      <c r="CZ35" s="17"/>
      <c r="DA35" s="17"/>
      <c r="DB35" s="17"/>
      <c r="DC35" s="17"/>
      <c r="DD35" s="17"/>
      <c r="DE35" s="17"/>
      <c r="DF35" s="17"/>
      <c r="DG35" s="17"/>
      <c r="DH35" s="17"/>
      <c r="DI35" s="17"/>
      <c r="DJ35" s="17"/>
      <c r="DK35" s="17"/>
      <c r="DL35" s="17"/>
      <c r="DM35" s="17"/>
      <c r="DN35" s="17"/>
      <c r="DO35" s="17"/>
      <c r="DP35" s="17"/>
      <c r="DQ35" s="17"/>
      <c r="DR35" s="17"/>
      <c r="DS35" s="17"/>
    </row>
    <row r="36" spans="1:123" s="8" customFormat="1" ht="24.75" customHeight="1" x14ac:dyDescent="0.2">
      <c r="A36" s="1"/>
      <c r="B36" s="1070" t="s">
        <v>6</v>
      </c>
      <c r="C36" s="1059" t="s">
        <v>23</v>
      </c>
      <c r="D36" s="1060"/>
      <c r="E36" s="217">
        <f>SUM(E8:E9)</f>
        <v>5880674</v>
      </c>
      <c r="F36" s="217" t="s">
        <v>11</v>
      </c>
      <c r="G36" s="19"/>
      <c r="H36" s="160">
        <f>H8+H9</f>
        <v>4074223</v>
      </c>
      <c r="I36" s="161" t="s">
        <v>83</v>
      </c>
      <c r="J36" s="19"/>
      <c r="K36" s="160">
        <f>K8+K9</f>
        <v>5296430</v>
      </c>
      <c r="L36" s="161" t="s">
        <v>83</v>
      </c>
      <c r="M36" s="19"/>
      <c r="N36" s="438"/>
      <c r="O36" s="19"/>
      <c r="P36" s="19"/>
      <c r="Q36" s="19"/>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row>
    <row r="37" spans="1:123" s="8" customFormat="1" ht="24.75" customHeight="1" x14ac:dyDescent="0.2">
      <c r="A37" s="1"/>
      <c r="B37" s="1070"/>
      <c r="C37" s="1027" t="s">
        <v>33</v>
      </c>
      <c r="D37" s="1028"/>
      <c r="E37" s="218">
        <f>E10</f>
        <v>20052</v>
      </c>
      <c r="F37" s="218" t="s">
        <v>16</v>
      </c>
      <c r="G37" s="19"/>
      <c r="H37" s="167">
        <f>H10</f>
        <v>15906.2</v>
      </c>
      <c r="I37" s="163" t="s">
        <v>16</v>
      </c>
      <c r="J37" s="19"/>
      <c r="K37" s="167">
        <f>K10</f>
        <v>12758.15</v>
      </c>
      <c r="L37" s="163" t="s">
        <v>16</v>
      </c>
      <c r="M37" s="19"/>
      <c r="N37" s="438"/>
      <c r="O37" s="19"/>
      <c r="P37" s="19"/>
      <c r="Q37" s="19"/>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row>
    <row r="38" spans="1:123" s="8" customFormat="1" ht="27" customHeight="1" x14ac:dyDescent="0.2">
      <c r="A38" s="1"/>
      <c r="B38" s="1070"/>
      <c r="C38" s="1027" t="s">
        <v>35</v>
      </c>
      <c r="D38" s="1028"/>
      <c r="E38" s="213">
        <f>E11</f>
        <v>737.13</v>
      </c>
      <c r="F38" s="213" t="s">
        <v>16</v>
      </c>
      <c r="G38" s="19"/>
      <c r="H38" s="162">
        <f>H11</f>
        <v>10</v>
      </c>
      <c r="I38" s="163" t="s">
        <v>16</v>
      </c>
      <c r="J38" s="19"/>
      <c r="K38" s="162">
        <f>K11</f>
        <v>5.99</v>
      </c>
      <c r="L38" s="163" t="s">
        <v>16</v>
      </c>
      <c r="M38" s="19"/>
      <c r="N38" s="438"/>
      <c r="O38" s="19"/>
      <c r="P38" s="19"/>
      <c r="Q38" s="19"/>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row>
    <row r="39" spans="1:123" s="8" customFormat="1" ht="13.5" customHeight="1" x14ac:dyDescent="0.2">
      <c r="A39" s="1"/>
      <c r="B39" s="1070"/>
      <c r="C39" s="1027" t="s">
        <v>24</v>
      </c>
      <c r="D39" s="1028"/>
      <c r="E39" s="79"/>
      <c r="F39" s="79"/>
      <c r="G39" s="19"/>
      <c r="H39" s="485"/>
      <c r="I39" s="165"/>
      <c r="J39" s="19"/>
      <c r="K39" s="164"/>
      <c r="L39" s="165"/>
      <c r="M39" s="19"/>
      <c r="N39" s="671"/>
      <c r="O39" s="19"/>
      <c r="P39" s="19"/>
      <c r="Q39" s="19"/>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row>
    <row r="40" spans="1:123" s="8" customFormat="1" ht="13.5" customHeight="1" x14ac:dyDescent="0.2">
      <c r="A40" s="1"/>
      <c r="B40" s="1070"/>
      <c r="C40" s="1027" t="s">
        <v>138</v>
      </c>
      <c r="D40" s="1028"/>
      <c r="E40" s="79"/>
      <c r="F40" s="79"/>
      <c r="G40" s="19"/>
      <c r="H40" s="674"/>
      <c r="I40" s="484"/>
      <c r="J40" s="19"/>
      <c r="K40" s="527">
        <v>3.77</v>
      </c>
      <c r="L40" s="163" t="s">
        <v>84</v>
      </c>
      <c r="M40" s="19"/>
      <c r="N40" s="655"/>
      <c r="O40" s="19"/>
      <c r="P40" s="19"/>
      <c r="Q40" s="19"/>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row>
    <row r="41" spans="1:123" s="8" customFormat="1" ht="27" customHeight="1" x14ac:dyDescent="0.2">
      <c r="A41" s="1"/>
      <c r="B41" s="1070"/>
      <c r="C41" s="1040" t="s">
        <v>139</v>
      </c>
      <c r="D41" s="664" t="s">
        <v>177</v>
      </c>
      <c r="E41" s="79"/>
      <c r="F41" s="79"/>
      <c r="G41" s="19"/>
      <c r="H41" s="674"/>
      <c r="I41" s="484"/>
      <c r="J41" s="19"/>
      <c r="K41" s="167">
        <f>958/5</f>
        <v>191.6</v>
      </c>
      <c r="L41" s="163" t="s">
        <v>180</v>
      </c>
      <c r="M41" s="19"/>
      <c r="N41" s="655"/>
      <c r="O41" s="26"/>
      <c r="P41" s="1069"/>
      <c r="Q41" s="1069"/>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row>
    <row r="42" spans="1:123" s="8" customFormat="1" ht="28.5" customHeight="1" x14ac:dyDescent="0.2">
      <c r="A42" s="1"/>
      <c r="B42" s="1070"/>
      <c r="C42" s="1041"/>
      <c r="D42" s="664" t="s">
        <v>178</v>
      </c>
      <c r="E42" s="79"/>
      <c r="F42" s="79"/>
      <c r="G42" s="19"/>
      <c r="H42" s="674"/>
      <c r="I42" s="484"/>
      <c r="J42" s="19"/>
      <c r="K42" s="167">
        <f>431/5</f>
        <v>86.2</v>
      </c>
      <c r="L42" s="163" t="s">
        <v>180</v>
      </c>
      <c r="M42" s="19"/>
      <c r="N42" s="655"/>
      <c r="O42" s="26"/>
      <c r="P42" s="19"/>
      <c r="Q42" s="19"/>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row>
    <row r="43" spans="1:123" s="8" customFormat="1" ht="13.5" customHeight="1" x14ac:dyDescent="0.2">
      <c r="A43" s="1"/>
      <c r="B43" s="1070"/>
      <c r="C43" s="1042"/>
      <c r="D43" s="664" t="s">
        <v>179</v>
      </c>
      <c r="E43" s="79"/>
      <c r="F43" s="79"/>
      <c r="G43" s="19"/>
      <c r="H43" s="674"/>
      <c r="I43" s="484"/>
      <c r="J43" s="19"/>
      <c r="K43" s="167">
        <f>811/5</f>
        <v>162.19999999999999</v>
      </c>
      <c r="L43" s="163" t="s">
        <v>186</v>
      </c>
      <c r="M43" s="19"/>
      <c r="N43" s="655"/>
      <c r="O43" s="26"/>
      <c r="P43" s="19"/>
      <c r="Q43" s="19"/>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row>
    <row r="44" spans="1:123" s="8" customFormat="1" ht="25.5" customHeight="1" x14ac:dyDescent="0.2">
      <c r="A44" s="1"/>
      <c r="B44" s="1070"/>
      <c r="C44" s="1027" t="s">
        <v>99</v>
      </c>
      <c r="D44" s="1028"/>
      <c r="E44" s="213">
        <v>11.4</v>
      </c>
      <c r="F44" s="213" t="s">
        <v>84</v>
      </c>
      <c r="G44" s="1061" t="s">
        <v>65</v>
      </c>
      <c r="H44" s="166"/>
      <c r="I44" s="135"/>
      <c r="J44" s="1061" t="s">
        <v>65</v>
      </c>
      <c r="K44" s="166"/>
      <c r="L44" s="135"/>
      <c r="M44" s="19"/>
      <c r="N44" s="19"/>
      <c r="O44" s="19"/>
      <c r="P44" s="19"/>
      <c r="Q44" s="19"/>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row>
    <row r="45" spans="1:123" s="8" customFormat="1" ht="27" customHeight="1" x14ac:dyDescent="0.2">
      <c r="A45" s="1"/>
      <c r="B45" s="1070"/>
      <c r="C45" s="1027" t="s">
        <v>100</v>
      </c>
      <c r="D45" s="1028"/>
      <c r="E45" s="214"/>
      <c r="F45" s="214"/>
      <c r="G45" s="1061"/>
      <c r="H45" s="202">
        <v>8.5299999999999994</v>
      </c>
      <c r="I45" s="163" t="s">
        <v>84</v>
      </c>
      <c r="J45" s="1061"/>
      <c r="K45" s="480">
        <v>9.98</v>
      </c>
      <c r="L45" s="163" t="s">
        <v>84</v>
      </c>
      <c r="M45" s="19"/>
      <c r="N45" s="19"/>
      <c r="O45" s="19"/>
      <c r="P45" s="19"/>
      <c r="Q45" s="19"/>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row>
    <row r="46" spans="1:123" s="8" customFormat="1" ht="25.5" customHeight="1" x14ac:dyDescent="0.2">
      <c r="A46" s="1"/>
      <c r="B46" s="1070"/>
      <c r="C46" s="1027" t="s">
        <v>273</v>
      </c>
      <c r="D46" s="1028"/>
      <c r="E46" s="214"/>
      <c r="F46" s="214"/>
      <c r="G46" s="1061"/>
      <c r="H46" s="145">
        <v>1.54</v>
      </c>
      <c r="I46" s="163" t="s">
        <v>84</v>
      </c>
      <c r="J46" s="1061"/>
      <c r="K46" s="480">
        <v>1.84</v>
      </c>
      <c r="L46" s="163" t="s">
        <v>84</v>
      </c>
      <c r="M46" s="19"/>
      <c r="N46" s="19"/>
      <c r="O46" s="19"/>
      <c r="P46" s="19"/>
      <c r="Q46" s="19"/>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row>
    <row r="47" spans="1:123" s="8" customFormat="1" ht="24.75" customHeight="1" x14ac:dyDescent="0.2">
      <c r="A47" s="1"/>
      <c r="B47" s="1070"/>
      <c r="C47" s="1027" t="s">
        <v>67</v>
      </c>
      <c r="D47" s="1028"/>
      <c r="E47" s="213">
        <v>4.8</v>
      </c>
      <c r="F47" s="213" t="s">
        <v>84</v>
      </c>
      <c r="G47" s="1062"/>
      <c r="H47" s="145">
        <v>1.52</v>
      </c>
      <c r="I47" s="163" t="s">
        <v>84</v>
      </c>
      <c r="J47" s="1062"/>
      <c r="K47" s="480">
        <v>0.96</v>
      </c>
      <c r="L47" s="163" t="s">
        <v>84</v>
      </c>
      <c r="M47" s="19"/>
      <c r="N47" s="19"/>
      <c r="O47" s="19"/>
      <c r="P47" s="19"/>
      <c r="Q47" s="19"/>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c r="DI47" s="16"/>
      <c r="DJ47" s="16"/>
      <c r="DK47" s="16"/>
      <c r="DL47" s="16"/>
      <c r="DM47" s="16"/>
      <c r="DN47" s="16"/>
      <c r="DO47" s="16"/>
      <c r="DP47" s="16"/>
      <c r="DQ47" s="16"/>
      <c r="DR47" s="16"/>
      <c r="DS47" s="16"/>
    </row>
    <row r="48" spans="1:123" s="8" customFormat="1" ht="24.75" customHeight="1" x14ac:dyDescent="0.2">
      <c r="A48" s="1"/>
      <c r="B48" s="1070"/>
      <c r="C48" s="1027" t="s">
        <v>271</v>
      </c>
      <c r="D48" s="1028"/>
      <c r="E48" s="213" t="s">
        <v>275</v>
      </c>
      <c r="F48" s="213" t="s">
        <v>84</v>
      </c>
      <c r="G48" s="1062"/>
      <c r="H48" s="202">
        <f>24.54*0.075</f>
        <v>1.8404999999999998</v>
      </c>
      <c r="I48" s="163" t="s">
        <v>84</v>
      </c>
      <c r="J48" s="1062"/>
      <c r="K48" s="202">
        <f>59.5*0.075</f>
        <v>4.4624999999999995</v>
      </c>
      <c r="L48" s="163" t="s">
        <v>84</v>
      </c>
      <c r="M48" s="19"/>
      <c r="N48" s="19"/>
      <c r="O48" s="19"/>
      <c r="P48" s="19"/>
      <c r="Q48" s="19"/>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6"/>
      <c r="DS48" s="16"/>
    </row>
    <row r="49" spans="1:123" s="8" customFormat="1" ht="24.75" customHeight="1" x14ac:dyDescent="0.2">
      <c r="A49" s="1"/>
      <c r="B49" s="1070"/>
      <c r="C49" s="1027" t="s">
        <v>270</v>
      </c>
      <c r="D49" s="1028"/>
      <c r="E49" s="213">
        <f>489.6*0.15</f>
        <v>73.44</v>
      </c>
      <c r="F49" s="213" t="s">
        <v>84</v>
      </c>
      <c r="G49" s="1062"/>
      <c r="H49" s="202">
        <f>177*0.15</f>
        <v>26.55</v>
      </c>
      <c r="I49" s="163" t="s">
        <v>84</v>
      </c>
      <c r="J49" s="1062"/>
      <c r="K49" s="202">
        <f>259.76*0.15</f>
        <v>38.963999999999999</v>
      </c>
      <c r="L49" s="163" t="s">
        <v>84</v>
      </c>
      <c r="M49" s="19"/>
      <c r="N49" s="19"/>
      <c r="O49" s="19"/>
      <c r="P49" s="19"/>
      <c r="Q49" s="19"/>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c r="DJ49" s="16"/>
      <c r="DK49" s="16"/>
      <c r="DL49" s="16"/>
      <c r="DM49" s="16"/>
      <c r="DN49" s="16"/>
      <c r="DO49" s="16"/>
      <c r="DP49" s="16"/>
      <c r="DQ49" s="16"/>
      <c r="DR49" s="16"/>
      <c r="DS49" s="16"/>
    </row>
    <row r="50" spans="1:123" s="8" customFormat="1" x14ac:dyDescent="0.2">
      <c r="A50" s="1"/>
      <c r="B50" s="1070"/>
      <c r="C50" s="1027" t="s">
        <v>104</v>
      </c>
      <c r="D50" s="1028"/>
      <c r="E50" s="213">
        <v>1.2370000000000001</v>
      </c>
      <c r="F50" s="213" t="s">
        <v>84</v>
      </c>
      <c r="G50" s="1062"/>
      <c r="H50" s="141"/>
      <c r="I50" s="135"/>
      <c r="J50" s="1062"/>
      <c r="K50" s="141"/>
      <c r="L50" s="135"/>
      <c r="M50" s="19"/>
      <c r="N50" s="19"/>
      <c r="O50" s="19"/>
      <c r="P50" s="19"/>
      <c r="Q50" s="19"/>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c r="DB50" s="16"/>
      <c r="DC50" s="16"/>
      <c r="DD50" s="16"/>
      <c r="DE50" s="16"/>
      <c r="DF50" s="16"/>
      <c r="DG50" s="16"/>
      <c r="DH50" s="16"/>
      <c r="DI50" s="16"/>
      <c r="DJ50" s="16"/>
      <c r="DK50" s="16"/>
      <c r="DL50" s="16"/>
      <c r="DM50" s="16"/>
      <c r="DN50" s="16"/>
      <c r="DO50" s="16"/>
      <c r="DP50" s="16"/>
      <c r="DQ50" s="16"/>
      <c r="DR50" s="16"/>
      <c r="DS50" s="16"/>
    </row>
    <row r="51" spans="1:123" s="8" customFormat="1" ht="25.5" customHeight="1" x14ac:dyDescent="0.2">
      <c r="A51" s="1"/>
      <c r="B51" s="1070"/>
      <c r="C51" s="1027" t="s">
        <v>101</v>
      </c>
      <c r="D51" s="1028"/>
      <c r="E51" s="93"/>
      <c r="F51" s="93"/>
      <c r="G51" s="87"/>
      <c r="H51" s="145">
        <v>1.8</v>
      </c>
      <c r="I51" s="163" t="s">
        <v>84</v>
      </c>
      <c r="J51" s="26"/>
      <c r="K51" s="527">
        <v>2.2000000000000002</v>
      </c>
      <c r="L51" s="163" t="s">
        <v>84</v>
      </c>
      <c r="M51" s="19"/>
      <c r="N51" s="19"/>
      <c r="O51" s="48"/>
      <c r="P51" s="48"/>
      <c r="Q51" s="19"/>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6"/>
      <c r="DG51" s="16"/>
      <c r="DH51" s="16"/>
      <c r="DI51" s="16"/>
      <c r="DJ51" s="16"/>
      <c r="DK51" s="16"/>
      <c r="DL51" s="16"/>
      <c r="DM51" s="16"/>
      <c r="DN51" s="16"/>
      <c r="DO51" s="16"/>
      <c r="DP51" s="16"/>
      <c r="DQ51" s="16"/>
      <c r="DR51" s="16"/>
      <c r="DS51" s="16"/>
    </row>
    <row r="52" spans="1:123" s="8" customFormat="1" ht="24.75" customHeight="1" x14ac:dyDescent="0.2">
      <c r="A52" s="1"/>
      <c r="B52" s="1070"/>
      <c r="C52" s="1027" t="s">
        <v>103</v>
      </c>
      <c r="D52" s="1028"/>
      <c r="E52" s="93"/>
      <c r="F52" s="482"/>
      <c r="G52" s="87"/>
      <c r="H52" s="145">
        <v>7.0000000000000007E-2</v>
      </c>
      <c r="I52" s="163" t="s">
        <v>84</v>
      </c>
      <c r="J52" s="26"/>
      <c r="K52" s="527">
        <v>0.15</v>
      </c>
      <c r="L52" s="163" t="s">
        <v>84</v>
      </c>
      <c r="M52" s="19"/>
      <c r="N52" s="19"/>
      <c r="O52" s="48"/>
      <c r="P52" s="48"/>
      <c r="Q52" s="19"/>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c r="DR52" s="16"/>
      <c r="DS52" s="16"/>
    </row>
    <row r="53" spans="1:123" s="8" customFormat="1" x14ac:dyDescent="0.2">
      <c r="A53" s="1"/>
      <c r="B53" s="1070"/>
      <c r="C53" s="1027" t="s">
        <v>25</v>
      </c>
      <c r="D53" s="1028"/>
      <c r="E53" s="79"/>
      <c r="F53" s="79"/>
      <c r="G53" s="19"/>
      <c r="H53" s="164"/>
      <c r="I53" s="165"/>
      <c r="J53" s="19"/>
      <c r="K53" s="164"/>
      <c r="L53" s="165"/>
      <c r="M53" s="19"/>
      <c r="N53" s="19"/>
      <c r="O53" s="19"/>
      <c r="P53" s="19"/>
      <c r="Q53" s="19"/>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c r="CT53" s="16"/>
      <c r="CU53" s="16"/>
      <c r="CV53" s="16"/>
      <c r="CW53" s="16"/>
      <c r="CX53" s="16"/>
      <c r="CY53" s="16"/>
      <c r="CZ53" s="16"/>
      <c r="DA53" s="16"/>
      <c r="DB53" s="16"/>
      <c r="DC53" s="16"/>
      <c r="DD53" s="16"/>
      <c r="DE53" s="16"/>
      <c r="DF53" s="16"/>
      <c r="DG53" s="16"/>
      <c r="DH53" s="16"/>
      <c r="DI53" s="16"/>
      <c r="DJ53" s="16"/>
      <c r="DK53" s="16"/>
      <c r="DL53" s="16"/>
      <c r="DM53" s="16"/>
      <c r="DN53" s="16"/>
      <c r="DO53" s="16"/>
      <c r="DP53" s="16"/>
      <c r="DQ53" s="16"/>
      <c r="DR53" s="16"/>
      <c r="DS53" s="16"/>
    </row>
    <row r="54" spans="1:123" s="8" customFormat="1" ht="27" customHeight="1" x14ac:dyDescent="0.2">
      <c r="A54" s="1"/>
      <c r="B54" s="1070"/>
      <c r="C54" s="1092" t="s">
        <v>189</v>
      </c>
      <c r="D54" s="1093"/>
      <c r="E54" s="747">
        <f>(3721+1545+155)*$E$6*$E$4/154</f>
        <v>2444554.1883116881</v>
      </c>
      <c r="F54" s="748" t="s">
        <v>194</v>
      </c>
      <c r="G54" s="672"/>
      <c r="H54" s="167">
        <f>7210*$H$4*$H$6/184</f>
        <v>2784627.3913043477</v>
      </c>
      <c r="I54" s="163" t="s">
        <v>120</v>
      </c>
      <c r="J54" s="19"/>
      <c r="K54" s="729">
        <f>H54*$K$5/$H$5</f>
        <v>2838961.5843054079</v>
      </c>
      <c r="L54" s="163" t="s">
        <v>120</v>
      </c>
      <c r="M54" s="19"/>
      <c r="N54" s="528"/>
      <c r="O54" s="19"/>
      <c r="P54" s="19"/>
      <c r="Q54" s="19"/>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6"/>
      <c r="CI54" s="16"/>
      <c r="CJ54" s="16"/>
      <c r="CK54" s="16"/>
      <c r="CL54" s="16"/>
      <c r="CM54" s="16"/>
      <c r="CN54" s="16"/>
      <c r="CO54" s="16"/>
      <c r="CP54" s="16"/>
      <c r="CQ54" s="16"/>
      <c r="CR54" s="16"/>
      <c r="CS54" s="16"/>
      <c r="CT54" s="16"/>
      <c r="CU54" s="16"/>
      <c r="CV54" s="16"/>
      <c r="CW54" s="16"/>
      <c r="CX54" s="16"/>
      <c r="CY54" s="16"/>
      <c r="CZ54" s="16"/>
      <c r="DA54" s="16"/>
      <c r="DB54" s="16"/>
      <c r="DC54" s="16"/>
      <c r="DD54" s="16"/>
      <c r="DE54" s="16"/>
      <c r="DF54" s="16"/>
      <c r="DG54" s="16"/>
      <c r="DH54" s="16"/>
      <c r="DI54" s="16"/>
      <c r="DJ54" s="16"/>
      <c r="DK54" s="16"/>
      <c r="DL54" s="16"/>
      <c r="DM54" s="16"/>
      <c r="DN54" s="16"/>
      <c r="DO54" s="16"/>
      <c r="DP54" s="16"/>
      <c r="DQ54" s="16"/>
      <c r="DR54" s="16"/>
      <c r="DS54" s="16"/>
    </row>
    <row r="55" spans="1:123" s="8" customFormat="1" ht="27" customHeight="1" x14ac:dyDescent="0.2">
      <c r="A55" s="1"/>
      <c r="B55" s="1070"/>
      <c r="C55" s="1092" t="s">
        <v>190</v>
      </c>
      <c r="D55" s="1093"/>
      <c r="E55" s="747">
        <f>(692+400)*$E$6*$E$4/154</f>
        <v>492428.18181818182</v>
      </c>
      <c r="F55" s="748" t="s">
        <v>120</v>
      </c>
      <c r="G55" s="672"/>
      <c r="H55" s="167">
        <f>1018*$H$4*$H$6/184</f>
        <v>393169.30434782611</v>
      </c>
      <c r="I55" s="163" t="s">
        <v>120</v>
      </c>
      <c r="J55" s="19"/>
      <c r="K55" s="729">
        <f>H55*$K$5/$H$5</f>
        <v>400840.90053022269</v>
      </c>
      <c r="L55" s="163" t="s">
        <v>120</v>
      </c>
      <c r="M55" s="19"/>
      <c r="N55" s="528"/>
      <c r="O55" s="19"/>
      <c r="P55" s="19"/>
      <c r="Q55" s="19"/>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row>
    <row r="56" spans="1:123" s="8" customFormat="1" ht="27" customHeight="1" x14ac:dyDescent="0.2">
      <c r="A56" s="1"/>
      <c r="B56" s="1070"/>
      <c r="C56" s="1092" t="s">
        <v>191</v>
      </c>
      <c r="D56" s="1093"/>
      <c r="E56" s="747">
        <f>(583+272)*$E$6*$E$4/154</f>
        <v>385555.0324675325</v>
      </c>
      <c r="F56" s="748" t="s">
        <v>120</v>
      </c>
      <c r="G56" s="672"/>
      <c r="H56" s="167">
        <f>994*$H$4*$H$6/184</f>
        <v>383900.08695652173</v>
      </c>
      <c r="I56" s="163" t="s">
        <v>120</v>
      </c>
      <c r="J56" s="19"/>
      <c r="K56" s="729">
        <f>H56*$K$5/$H$5</f>
        <v>391390.82036055147</v>
      </c>
      <c r="L56" s="163" t="s">
        <v>120</v>
      </c>
      <c r="M56" s="19"/>
      <c r="N56" s="528"/>
      <c r="O56" s="19"/>
      <c r="P56" s="19"/>
      <c r="Q56" s="19"/>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c r="DJ56" s="16"/>
      <c r="DK56" s="16"/>
      <c r="DL56" s="16"/>
      <c r="DM56" s="16"/>
      <c r="DN56" s="16"/>
      <c r="DO56" s="16"/>
      <c r="DP56" s="16"/>
      <c r="DQ56" s="16"/>
      <c r="DR56" s="16"/>
      <c r="DS56" s="16"/>
    </row>
    <row r="57" spans="1:123" s="8" customFormat="1" ht="27" customHeight="1" x14ac:dyDescent="0.2">
      <c r="A57" s="1"/>
      <c r="B57" s="1070"/>
      <c r="C57" s="1092" t="s">
        <v>192</v>
      </c>
      <c r="D57" s="1093"/>
      <c r="E57" s="747">
        <f>70*$E$6*$E$4/154</f>
        <v>31565.909090909092</v>
      </c>
      <c r="F57" s="748" t="s">
        <v>120</v>
      </c>
      <c r="G57" s="672"/>
      <c r="H57" s="167">
        <f>70*$H$4*$H$6/184</f>
        <v>27035.217391304348</v>
      </c>
      <c r="I57" s="163" t="s">
        <v>120</v>
      </c>
      <c r="J57" s="19"/>
      <c r="K57" s="729">
        <f>H57*$K$5/$H$5</f>
        <v>27562.733828207845</v>
      </c>
      <c r="L57" s="163" t="s">
        <v>120</v>
      </c>
      <c r="M57" s="19"/>
      <c r="N57" s="528"/>
      <c r="O57" s="19"/>
      <c r="P57" s="19"/>
      <c r="Q57" s="19"/>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c r="DI57" s="16"/>
      <c r="DJ57" s="16"/>
      <c r="DK57" s="16"/>
      <c r="DL57" s="16"/>
      <c r="DM57" s="16"/>
      <c r="DN57" s="16"/>
      <c r="DO57" s="16"/>
      <c r="DP57" s="16"/>
      <c r="DQ57" s="16"/>
      <c r="DR57" s="16"/>
      <c r="DS57" s="16"/>
    </row>
    <row r="58" spans="1:123" s="8" customFormat="1" ht="15" customHeight="1" x14ac:dyDescent="0.2">
      <c r="A58" s="1"/>
      <c r="B58" s="1070"/>
      <c r="C58" s="1027" t="s">
        <v>27</v>
      </c>
      <c r="D58" s="1028"/>
      <c r="E58" s="213">
        <v>1164131.25</v>
      </c>
      <c r="F58" s="213" t="s">
        <v>102</v>
      </c>
      <c r="G58" s="19"/>
      <c r="H58" s="167">
        <v>566072.69999999995</v>
      </c>
      <c r="I58" s="163" t="s">
        <v>108</v>
      </c>
      <c r="J58" s="19"/>
      <c r="K58" s="595">
        <v>408444.76</v>
      </c>
      <c r="L58" s="163" t="s">
        <v>120</v>
      </c>
      <c r="M58" s="19"/>
      <c r="N58" s="528"/>
      <c r="O58" s="19"/>
      <c r="P58" s="19"/>
      <c r="Q58" s="19"/>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row>
    <row r="59" spans="1:123" s="8" customFormat="1" ht="15" customHeight="1" thickBot="1" x14ac:dyDescent="0.25">
      <c r="A59" s="1"/>
      <c r="B59" s="1070"/>
      <c r="C59" s="1094" t="s">
        <v>26</v>
      </c>
      <c r="D59" s="1095"/>
      <c r="E59" s="747">
        <v>633576.14146236121</v>
      </c>
      <c r="F59" s="748" t="s">
        <v>102</v>
      </c>
      <c r="G59" s="19"/>
      <c r="H59" s="740">
        <v>803540.5</v>
      </c>
      <c r="I59" s="734" t="s">
        <v>108</v>
      </c>
      <c r="J59" s="19"/>
      <c r="K59" s="733">
        <v>408444.76</v>
      </c>
      <c r="L59" s="734" t="s">
        <v>120</v>
      </c>
      <c r="M59" s="19"/>
      <c r="N59" s="528"/>
      <c r="O59" s="19"/>
      <c r="P59" s="19"/>
      <c r="Q59" s="19"/>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16"/>
      <c r="CQ59" s="16"/>
      <c r="CR59" s="16"/>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row>
    <row r="60" spans="1:123" s="8" customFormat="1" ht="42" customHeight="1" x14ac:dyDescent="0.2">
      <c r="A60" s="1"/>
      <c r="B60" s="1070"/>
      <c r="C60" s="1037" t="s">
        <v>181</v>
      </c>
      <c r="D60" s="731" t="s">
        <v>160</v>
      </c>
      <c r="E60" s="750"/>
      <c r="F60" s="751"/>
      <c r="G60" s="19"/>
      <c r="H60" s="742"/>
      <c r="I60" s="743"/>
      <c r="J60" s="19"/>
      <c r="K60" s="735">
        <v>67324.5</v>
      </c>
      <c r="L60" s="736" t="s">
        <v>120</v>
      </c>
      <c r="M60" s="19"/>
      <c r="N60" s="528"/>
      <c r="O60" s="19"/>
      <c r="P60" s="19"/>
      <c r="Q60" s="19"/>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c r="DJ60" s="16"/>
      <c r="DK60" s="16"/>
      <c r="DL60" s="16"/>
      <c r="DM60" s="16"/>
      <c r="DN60" s="16"/>
      <c r="DO60" s="16"/>
      <c r="DP60" s="16"/>
      <c r="DQ60" s="16"/>
      <c r="DR60" s="16"/>
      <c r="DS60" s="16"/>
    </row>
    <row r="61" spans="1:123" s="8" customFormat="1" ht="43.5" customHeight="1" x14ac:dyDescent="0.2">
      <c r="A61" s="1"/>
      <c r="B61" s="1070"/>
      <c r="C61" s="1032"/>
      <c r="D61" s="539" t="s">
        <v>152</v>
      </c>
      <c r="E61" s="481"/>
      <c r="F61" s="752"/>
      <c r="G61" s="19"/>
      <c r="H61" s="673"/>
      <c r="I61" s="744"/>
      <c r="J61" s="19"/>
      <c r="K61" s="595">
        <v>104907.7</v>
      </c>
      <c r="L61" s="737" t="s">
        <v>120</v>
      </c>
      <c r="M61" s="19"/>
      <c r="N61" s="528"/>
      <c r="O61" s="19"/>
      <c r="P61" s="19"/>
      <c r="Q61" s="19"/>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c r="CN61" s="16"/>
      <c r="CO61" s="16"/>
      <c r="CP61" s="16"/>
      <c r="CQ61" s="16"/>
      <c r="CR61" s="16"/>
      <c r="CS61" s="16"/>
      <c r="CT61" s="16"/>
      <c r="CU61" s="16"/>
      <c r="CV61" s="16"/>
      <c r="CW61" s="16"/>
      <c r="CX61" s="16"/>
      <c r="CY61" s="16"/>
      <c r="CZ61" s="16"/>
      <c r="DA61" s="16"/>
      <c r="DB61" s="16"/>
      <c r="DC61" s="16"/>
      <c r="DD61" s="16"/>
      <c r="DE61" s="16"/>
      <c r="DF61" s="16"/>
      <c r="DG61" s="16"/>
      <c r="DH61" s="16"/>
      <c r="DI61" s="16"/>
      <c r="DJ61" s="16"/>
      <c r="DK61" s="16"/>
      <c r="DL61" s="16"/>
      <c r="DM61" s="16"/>
      <c r="DN61" s="16"/>
      <c r="DO61" s="16"/>
      <c r="DP61" s="16"/>
      <c r="DQ61" s="16"/>
      <c r="DR61" s="16"/>
      <c r="DS61" s="16"/>
    </row>
    <row r="62" spans="1:123" s="8" customFormat="1" ht="43.5" customHeight="1" x14ac:dyDescent="0.2">
      <c r="A62" s="1"/>
      <c r="B62" s="1070"/>
      <c r="C62" s="1032"/>
      <c r="D62" s="539" t="s">
        <v>151</v>
      </c>
      <c r="E62" s="481"/>
      <c r="F62" s="752"/>
      <c r="G62" s="19"/>
      <c r="H62" s="673"/>
      <c r="I62" s="744"/>
      <c r="J62" s="19"/>
      <c r="K62" s="595">
        <v>25315.599999999999</v>
      </c>
      <c r="L62" s="737" t="s">
        <v>120</v>
      </c>
      <c r="M62" s="19"/>
      <c r="N62" s="528"/>
      <c r="O62" s="19"/>
      <c r="P62" s="19"/>
      <c r="Q62" s="19"/>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c r="CN62" s="16"/>
      <c r="CO62" s="16"/>
      <c r="CP62" s="16"/>
      <c r="CQ62" s="16"/>
      <c r="CR62" s="16"/>
      <c r="CS62" s="16"/>
      <c r="CT62" s="16"/>
      <c r="CU62" s="16"/>
      <c r="CV62" s="16"/>
      <c r="CW62" s="16"/>
      <c r="CX62" s="16"/>
      <c r="CY62" s="16"/>
      <c r="CZ62" s="16"/>
      <c r="DA62" s="16"/>
      <c r="DB62" s="16"/>
      <c r="DC62" s="16"/>
      <c r="DD62" s="16"/>
      <c r="DE62" s="16"/>
      <c r="DF62" s="16"/>
      <c r="DG62" s="16"/>
      <c r="DH62" s="16"/>
      <c r="DI62" s="16"/>
      <c r="DJ62" s="16"/>
      <c r="DK62" s="16"/>
      <c r="DL62" s="16"/>
      <c r="DM62" s="16"/>
      <c r="DN62" s="16"/>
      <c r="DO62" s="16"/>
      <c r="DP62" s="16"/>
      <c r="DQ62" s="16"/>
      <c r="DR62" s="16"/>
      <c r="DS62" s="16"/>
    </row>
    <row r="63" spans="1:123" s="8" customFormat="1" ht="42.75" customHeight="1" x14ac:dyDescent="0.2">
      <c r="A63" s="1"/>
      <c r="B63" s="1070"/>
      <c r="C63" s="1032"/>
      <c r="D63" s="539" t="s">
        <v>153</v>
      </c>
      <c r="E63" s="481"/>
      <c r="F63" s="752"/>
      <c r="G63" s="19"/>
      <c r="H63" s="673"/>
      <c r="I63" s="744"/>
      <c r="J63" s="19"/>
      <c r="K63" s="595">
        <v>0</v>
      </c>
      <c r="L63" s="737" t="s">
        <v>120</v>
      </c>
      <c r="M63" s="19"/>
      <c r="N63" s="528"/>
      <c r="O63" s="19"/>
      <c r="P63" s="19"/>
      <c r="Q63" s="19"/>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6"/>
      <c r="DG63" s="16"/>
      <c r="DH63" s="16"/>
      <c r="DI63" s="16"/>
      <c r="DJ63" s="16"/>
      <c r="DK63" s="16"/>
      <c r="DL63" s="16"/>
      <c r="DM63" s="16"/>
      <c r="DN63" s="16"/>
      <c r="DO63" s="16"/>
      <c r="DP63" s="16"/>
      <c r="DQ63" s="16"/>
      <c r="DR63" s="16"/>
      <c r="DS63" s="16"/>
    </row>
    <row r="64" spans="1:123" s="8" customFormat="1" ht="42" customHeight="1" x14ac:dyDescent="0.2">
      <c r="A64" s="1"/>
      <c r="B64" s="1070"/>
      <c r="C64" s="1032"/>
      <c r="D64" s="539" t="s">
        <v>154</v>
      </c>
      <c r="E64" s="481"/>
      <c r="F64" s="752"/>
      <c r="G64" s="19"/>
      <c r="H64" s="673"/>
      <c r="I64" s="744"/>
      <c r="J64" s="19"/>
      <c r="K64" s="595">
        <v>53019.839999999997</v>
      </c>
      <c r="L64" s="737" t="s">
        <v>120</v>
      </c>
      <c r="M64" s="19"/>
      <c r="N64" s="528"/>
      <c r="O64" s="19"/>
      <c r="P64" s="19"/>
      <c r="Q64" s="19"/>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6"/>
      <c r="CW64" s="16"/>
      <c r="CX64" s="16"/>
      <c r="CY64" s="16"/>
      <c r="CZ64" s="16"/>
      <c r="DA64" s="16"/>
      <c r="DB64" s="16"/>
      <c r="DC64" s="16"/>
      <c r="DD64" s="16"/>
      <c r="DE64" s="16"/>
      <c r="DF64" s="16"/>
      <c r="DG64" s="16"/>
      <c r="DH64" s="16"/>
      <c r="DI64" s="16"/>
      <c r="DJ64" s="16"/>
      <c r="DK64" s="16"/>
      <c r="DL64" s="16"/>
      <c r="DM64" s="16"/>
      <c r="DN64" s="16"/>
      <c r="DO64" s="16"/>
      <c r="DP64" s="16"/>
      <c r="DQ64" s="16"/>
      <c r="DR64" s="16"/>
      <c r="DS64" s="16"/>
    </row>
    <row r="65" spans="1:123" s="8" customFormat="1" ht="44.25" customHeight="1" x14ac:dyDescent="0.2">
      <c r="A65" s="1"/>
      <c r="B65" s="1070"/>
      <c r="C65" s="1032"/>
      <c r="D65" s="539" t="s">
        <v>155</v>
      </c>
      <c r="E65" s="481"/>
      <c r="F65" s="752"/>
      <c r="G65" s="19"/>
      <c r="H65" s="673"/>
      <c r="I65" s="744"/>
      <c r="J65" s="19"/>
      <c r="K65" s="595">
        <v>34263.800000000003</v>
      </c>
      <c r="L65" s="737" t="s">
        <v>120</v>
      </c>
      <c r="M65" s="19"/>
      <c r="N65" s="528"/>
      <c r="O65" s="19"/>
      <c r="P65" s="19"/>
      <c r="Q65" s="19"/>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c r="CN65" s="16"/>
      <c r="CO65" s="16"/>
      <c r="CP65" s="16"/>
      <c r="CQ65" s="16"/>
      <c r="CR65" s="16"/>
      <c r="CS65" s="16"/>
      <c r="CT65" s="16"/>
      <c r="CU65" s="16"/>
      <c r="CV65" s="16"/>
      <c r="CW65" s="16"/>
      <c r="CX65" s="16"/>
      <c r="CY65" s="16"/>
      <c r="CZ65" s="16"/>
      <c r="DA65" s="16"/>
      <c r="DB65" s="16"/>
      <c r="DC65" s="16"/>
      <c r="DD65" s="16"/>
      <c r="DE65" s="16"/>
      <c r="DF65" s="16"/>
      <c r="DG65" s="16"/>
      <c r="DH65" s="16"/>
      <c r="DI65" s="16"/>
      <c r="DJ65" s="16"/>
      <c r="DK65" s="16"/>
      <c r="DL65" s="16"/>
      <c r="DM65" s="16"/>
      <c r="DN65" s="16"/>
      <c r="DO65" s="16"/>
      <c r="DP65" s="16"/>
      <c r="DQ65" s="16"/>
      <c r="DR65" s="16"/>
      <c r="DS65" s="16"/>
    </row>
    <row r="66" spans="1:123" s="8" customFormat="1" ht="43.5" customHeight="1" x14ac:dyDescent="0.2">
      <c r="A66" s="1"/>
      <c r="B66" s="1070"/>
      <c r="C66" s="1032"/>
      <c r="D66" s="539" t="s">
        <v>156</v>
      </c>
      <c r="E66" s="481"/>
      <c r="F66" s="752"/>
      <c r="G66" s="19"/>
      <c r="H66" s="673"/>
      <c r="I66" s="744"/>
      <c r="J66" s="19"/>
      <c r="K66" s="595">
        <v>0</v>
      </c>
      <c r="L66" s="737" t="s">
        <v>120</v>
      </c>
      <c r="M66" s="19"/>
      <c r="N66" s="528"/>
      <c r="O66" s="19"/>
      <c r="P66" s="19"/>
      <c r="Q66" s="19"/>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c r="CN66" s="16"/>
      <c r="CO66" s="16"/>
      <c r="CP66" s="16"/>
      <c r="CQ66" s="16"/>
      <c r="CR66" s="16"/>
      <c r="CS66" s="16"/>
      <c r="CT66" s="16"/>
      <c r="CU66" s="16"/>
      <c r="CV66" s="16"/>
      <c r="CW66" s="16"/>
      <c r="CX66" s="16"/>
      <c r="CY66" s="16"/>
      <c r="CZ66" s="16"/>
      <c r="DA66" s="16"/>
      <c r="DB66" s="16"/>
      <c r="DC66" s="16"/>
      <c r="DD66" s="16"/>
      <c r="DE66" s="16"/>
      <c r="DF66" s="16"/>
      <c r="DG66" s="16"/>
      <c r="DH66" s="16"/>
      <c r="DI66" s="16"/>
      <c r="DJ66" s="16"/>
      <c r="DK66" s="16"/>
      <c r="DL66" s="16"/>
      <c r="DM66" s="16"/>
      <c r="DN66" s="16"/>
      <c r="DO66" s="16"/>
      <c r="DP66" s="16"/>
      <c r="DQ66" s="16"/>
      <c r="DR66" s="16"/>
      <c r="DS66" s="16"/>
    </row>
    <row r="67" spans="1:123" s="8" customFormat="1" ht="48" customHeight="1" x14ac:dyDescent="0.2">
      <c r="A67" s="1"/>
      <c r="B67" s="1070"/>
      <c r="C67" s="1032"/>
      <c r="D67" s="539" t="s">
        <v>161</v>
      </c>
      <c r="E67" s="481"/>
      <c r="F67" s="752"/>
      <c r="G67" s="19"/>
      <c r="H67" s="673"/>
      <c r="I67" s="744"/>
      <c r="J67" s="19"/>
      <c r="K67" s="595">
        <v>28045.759999999998</v>
      </c>
      <c r="L67" s="737" t="s">
        <v>120</v>
      </c>
      <c r="M67" s="19"/>
      <c r="N67" s="528"/>
      <c r="O67" s="19"/>
      <c r="P67" s="19"/>
      <c r="Q67" s="19"/>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c r="CL67" s="16"/>
      <c r="CM67" s="16"/>
      <c r="CN67" s="16"/>
      <c r="CO67" s="16"/>
      <c r="CP67" s="16"/>
      <c r="CQ67" s="16"/>
      <c r="CR67" s="16"/>
      <c r="CS67" s="16"/>
      <c r="CT67" s="16"/>
      <c r="CU67" s="16"/>
      <c r="CV67" s="16"/>
      <c r="CW67" s="16"/>
      <c r="CX67" s="16"/>
      <c r="CY67" s="16"/>
      <c r="CZ67" s="16"/>
      <c r="DA67" s="16"/>
      <c r="DB67" s="16"/>
      <c r="DC67" s="16"/>
      <c r="DD67" s="16"/>
      <c r="DE67" s="16"/>
      <c r="DF67" s="16"/>
      <c r="DG67" s="16"/>
      <c r="DH67" s="16"/>
      <c r="DI67" s="16"/>
      <c r="DJ67" s="16"/>
      <c r="DK67" s="16"/>
      <c r="DL67" s="16"/>
      <c r="DM67" s="16"/>
      <c r="DN67" s="16"/>
      <c r="DO67" s="16"/>
      <c r="DP67" s="16"/>
      <c r="DQ67" s="16"/>
      <c r="DR67" s="16"/>
      <c r="DS67" s="16"/>
    </row>
    <row r="68" spans="1:123" s="8" customFormat="1" ht="45.75" customHeight="1" x14ac:dyDescent="0.2">
      <c r="A68" s="1"/>
      <c r="B68" s="1070"/>
      <c r="C68" s="1032"/>
      <c r="D68" s="539" t="s">
        <v>157</v>
      </c>
      <c r="E68" s="481"/>
      <c r="F68" s="752"/>
      <c r="G68" s="19"/>
      <c r="H68" s="673"/>
      <c r="I68" s="744"/>
      <c r="J68" s="19"/>
      <c r="K68" s="595">
        <v>120097.3</v>
      </c>
      <c r="L68" s="737" t="s">
        <v>120</v>
      </c>
      <c r="M68" s="19"/>
      <c r="N68" s="528"/>
      <c r="O68" s="19"/>
      <c r="P68" s="19"/>
      <c r="Q68" s="19"/>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16"/>
      <c r="CH68" s="16"/>
      <c r="CI68" s="16"/>
      <c r="CJ68" s="16"/>
      <c r="CK68" s="16"/>
      <c r="CL68" s="16"/>
      <c r="CM68" s="16"/>
      <c r="CN68" s="16"/>
      <c r="CO68" s="16"/>
      <c r="CP68" s="16"/>
      <c r="CQ68" s="16"/>
      <c r="CR68" s="16"/>
      <c r="CS68" s="16"/>
      <c r="CT68" s="16"/>
      <c r="CU68" s="16"/>
      <c r="CV68" s="16"/>
      <c r="CW68" s="16"/>
      <c r="CX68" s="16"/>
      <c r="CY68" s="16"/>
      <c r="CZ68" s="16"/>
      <c r="DA68" s="16"/>
      <c r="DB68" s="16"/>
      <c r="DC68" s="16"/>
      <c r="DD68" s="16"/>
      <c r="DE68" s="16"/>
      <c r="DF68" s="16"/>
      <c r="DG68" s="16"/>
      <c r="DH68" s="16"/>
      <c r="DI68" s="16"/>
      <c r="DJ68" s="16"/>
      <c r="DK68" s="16"/>
      <c r="DL68" s="16"/>
      <c r="DM68" s="16"/>
      <c r="DN68" s="16"/>
      <c r="DO68" s="16"/>
      <c r="DP68" s="16"/>
      <c r="DQ68" s="16"/>
      <c r="DR68" s="16"/>
      <c r="DS68" s="16"/>
    </row>
    <row r="69" spans="1:123" s="8" customFormat="1" ht="45.75" customHeight="1" x14ac:dyDescent="0.2">
      <c r="A69" s="1"/>
      <c r="B69" s="1070"/>
      <c r="C69" s="1032"/>
      <c r="D69" s="539" t="s">
        <v>158</v>
      </c>
      <c r="E69" s="481"/>
      <c r="F69" s="752"/>
      <c r="G69" s="19"/>
      <c r="H69" s="673"/>
      <c r="I69" s="744"/>
      <c r="J69" s="19"/>
      <c r="K69" s="595">
        <v>521511.42</v>
      </c>
      <c r="L69" s="737" t="s">
        <v>120</v>
      </c>
      <c r="M69" s="19"/>
      <c r="N69" s="528"/>
      <c r="O69" s="19"/>
      <c r="P69" s="19"/>
      <c r="Q69" s="19"/>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c r="CG69" s="16"/>
      <c r="CH69" s="16"/>
      <c r="CI69" s="16"/>
      <c r="CJ69" s="16"/>
      <c r="CK69" s="16"/>
      <c r="CL69" s="16"/>
      <c r="CM69" s="16"/>
      <c r="CN69" s="16"/>
      <c r="CO69" s="16"/>
      <c r="CP69" s="16"/>
      <c r="CQ69" s="16"/>
      <c r="CR69" s="16"/>
      <c r="CS69" s="16"/>
      <c r="CT69" s="16"/>
      <c r="CU69" s="16"/>
      <c r="CV69" s="16"/>
      <c r="CW69" s="16"/>
      <c r="CX69" s="16"/>
      <c r="CY69" s="16"/>
      <c r="CZ69" s="16"/>
      <c r="DA69" s="16"/>
      <c r="DB69" s="16"/>
      <c r="DC69" s="16"/>
      <c r="DD69" s="16"/>
      <c r="DE69" s="16"/>
      <c r="DF69" s="16"/>
      <c r="DG69" s="16"/>
      <c r="DH69" s="16"/>
      <c r="DI69" s="16"/>
      <c r="DJ69" s="16"/>
      <c r="DK69" s="16"/>
      <c r="DL69" s="16"/>
      <c r="DM69" s="16"/>
      <c r="DN69" s="16"/>
      <c r="DO69" s="16"/>
      <c r="DP69" s="16"/>
      <c r="DQ69" s="16"/>
      <c r="DR69" s="16"/>
      <c r="DS69" s="16"/>
    </row>
    <row r="70" spans="1:123" s="8" customFormat="1" ht="45.75" customHeight="1" x14ac:dyDescent="0.2">
      <c r="A70" s="1"/>
      <c r="B70" s="1070"/>
      <c r="C70" s="1032"/>
      <c r="D70" s="539" t="s">
        <v>162</v>
      </c>
      <c r="E70" s="481"/>
      <c r="F70" s="752"/>
      <c r="G70" s="19"/>
      <c r="H70" s="673"/>
      <c r="I70" s="744"/>
      <c r="J70" s="19"/>
      <c r="K70" s="595">
        <v>20631.46</v>
      </c>
      <c r="L70" s="737" t="s">
        <v>120</v>
      </c>
      <c r="M70" s="19"/>
      <c r="N70" s="528"/>
      <c r="O70" s="19"/>
      <c r="P70" s="19"/>
      <c r="Q70" s="19"/>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6"/>
      <c r="CE70" s="16"/>
      <c r="CF70" s="16"/>
      <c r="CG70" s="16"/>
      <c r="CH70" s="16"/>
      <c r="CI70" s="16"/>
      <c r="CJ70" s="16"/>
      <c r="CK70" s="16"/>
      <c r="CL70" s="16"/>
      <c r="CM70" s="16"/>
      <c r="CN70" s="16"/>
      <c r="CO70" s="16"/>
      <c r="CP70" s="16"/>
      <c r="CQ70" s="16"/>
      <c r="CR70" s="16"/>
      <c r="CS70" s="16"/>
      <c r="CT70" s="16"/>
      <c r="CU70" s="16"/>
      <c r="CV70" s="16"/>
      <c r="CW70" s="16"/>
      <c r="CX70" s="16"/>
      <c r="CY70" s="16"/>
      <c r="CZ70" s="16"/>
      <c r="DA70" s="16"/>
      <c r="DB70" s="16"/>
      <c r="DC70" s="16"/>
      <c r="DD70" s="16"/>
      <c r="DE70" s="16"/>
      <c r="DF70" s="16"/>
      <c r="DG70" s="16"/>
      <c r="DH70" s="16"/>
      <c r="DI70" s="16"/>
      <c r="DJ70" s="16"/>
      <c r="DK70" s="16"/>
      <c r="DL70" s="16"/>
      <c r="DM70" s="16"/>
      <c r="DN70" s="16"/>
      <c r="DO70" s="16"/>
      <c r="DP70" s="16"/>
      <c r="DQ70" s="16"/>
      <c r="DR70" s="16"/>
      <c r="DS70" s="16"/>
    </row>
    <row r="71" spans="1:123" s="8" customFormat="1" ht="40.5" customHeight="1" thickBot="1" x14ac:dyDescent="0.25">
      <c r="A71" s="1"/>
      <c r="B71" s="1070"/>
      <c r="C71" s="1038"/>
      <c r="D71" s="732" t="s">
        <v>163</v>
      </c>
      <c r="E71" s="753"/>
      <c r="F71" s="754"/>
      <c r="G71" s="19"/>
      <c r="H71" s="745"/>
      <c r="I71" s="746"/>
      <c r="J71" s="19"/>
      <c r="K71" s="738">
        <v>31939.88</v>
      </c>
      <c r="L71" s="739" t="s">
        <v>120</v>
      </c>
      <c r="M71" s="19"/>
      <c r="N71" s="528"/>
      <c r="O71" s="19"/>
      <c r="P71" s="19"/>
      <c r="Q71" s="19"/>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c r="CA71" s="16"/>
      <c r="CB71" s="16"/>
      <c r="CC71" s="16"/>
      <c r="CD71" s="16"/>
      <c r="CE71" s="16"/>
      <c r="CF71" s="16"/>
      <c r="CG71" s="16"/>
      <c r="CH71" s="16"/>
      <c r="CI71" s="16"/>
      <c r="CJ71" s="16"/>
      <c r="CK71" s="16"/>
      <c r="CL71" s="16"/>
      <c r="CM71" s="16"/>
      <c r="CN71" s="16"/>
      <c r="CO71" s="16"/>
      <c r="CP71" s="16"/>
      <c r="CQ71" s="16"/>
      <c r="CR71" s="16"/>
      <c r="CS71" s="16"/>
      <c r="CT71" s="16"/>
      <c r="CU71" s="16"/>
      <c r="CV71" s="16"/>
      <c r="CW71" s="16"/>
      <c r="CX71" s="16"/>
      <c r="CY71" s="16"/>
      <c r="CZ71" s="16"/>
      <c r="DA71" s="16"/>
      <c r="DB71" s="16"/>
      <c r="DC71" s="16"/>
      <c r="DD71" s="16"/>
      <c r="DE71" s="16"/>
      <c r="DF71" s="16"/>
      <c r="DG71" s="16"/>
      <c r="DH71" s="16"/>
      <c r="DI71" s="16"/>
      <c r="DJ71" s="16"/>
      <c r="DK71" s="16"/>
      <c r="DL71" s="16"/>
      <c r="DM71" s="16"/>
      <c r="DN71" s="16"/>
      <c r="DO71" s="16"/>
      <c r="DP71" s="16"/>
      <c r="DQ71" s="16"/>
      <c r="DR71" s="16"/>
      <c r="DS71" s="16"/>
    </row>
    <row r="72" spans="1:123" s="8" customFormat="1" ht="27" customHeight="1" thickBot="1" x14ac:dyDescent="0.25">
      <c r="A72" s="1"/>
      <c r="B72" s="1070"/>
      <c r="C72" s="1092" t="s">
        <v>193</v>
      </c>
      <c r="D72" s="1093"/>
      <c r="E72" s="747">
        <f>45591.4381859296+111243</f>
        <v>156834.43818592961</v>
      </c>
      <c r="F72" s="748" t="s">
        <v>120</v>
      </c>
      <c r="G72" s="19"/>
      <c r="H72" s="167">
        <v>185249</v>
      </c>
      <c r="I72" s="163" t="s">
        <v>120</v>
      </c>
      <c r="J72" s="19"/>
      <c r="K72" s="882"/>
      <c r="L72" s="739" t="s">
        <v>120</v>
      </c>
      <c r="M72" s="19"/>
      <c r="N72" s="528"/>
      <c r="O72" s="19"/>
      <c r="P72" s="19"/>
      <c r="Q72" s="19"/>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c r="CA72" s="16"/>
      <c r="CB72" s="16"/>
      <c r="CC72" s="16"/>
      <c r="CD72" s="16"/>
      <c r="CE72" s="16"/>
      <c r="CF72" s="16"/>
      <c r="CG72" s="16"/>
      <c r="CH72" s="16"/>
      <c r="CI72" s="16"/>
      <c r="CJ72" s="16"/>
      <c r="CK72" s="16"/>
      <c r="CL72" s="16"/>
      <c r="CM72" s="16"/>
      <c r="CN72" s="16"/>
      <c r="CO72" s="16"/>
      <c r="CP72" s="16"/>
      <c r="CQ72" s="16"/>
      <c r="CR72" s="16"/>
      <c r="CS72" s="16"/>
      <c r="CT72" s="16"/>
      <c r="CU72" s="16"/>
      <c r="CV72" s="16"/>
      <c r="CW72" s="16"/>
      <c r="CX72" s="16"/>
      <c r="CY72" s="16"/>
      <c r="CZ72" s="16"/>
      <c r="DA72" s="16"/>
      <c r="DB72" s="16"/>
      <c r="DC72" s="16"/>
      <c r="DD72" s="16"/>
      <c r="DE72" s="16"/>
      <c r="DF72" s="16"/>
      <c r="DG72" s="16"/>
      <c r="DH72" s="16"/>
      <c r="DI72" s="16"/>
      <c r="DJ72" s="16"/>
      <c r="DK72" s="16"/>
      <c r="DL72" s="16"/>
      <c r="DM72" s="16"/>
      <c r="DN72" s="16"/>
      <c r="DO72" s="16"/>
      <c r="DP72" s="16"/>
      <c r="DQ72" s="16"/>
      <c r="DR72" s="16"/>
      <c r="DS72" s="16"/>
    </row>
    <row r="73" spans="1:123" s="8" customFormat="1" ht="42" customHeight="1" x14ac:dyDescent="0.2">
      <c r="A73" s="1"/>
      <c r="B73" s="1070"/>
      <c r="C73" s="1029" t="s">
        <v>172</v>
      </c>
      <c r="D73" s="755" t="s">
        <v>160</v>
      </c>
      <c r="E73" s="750"/>
      <c r="F73" s="751"/>
      <c r="G73" s="478"/>
      <c r="H73" s="757"/>
      <c r="I73" s="743"/>
      <c r="J73" s="19"/>
      <c r="K73" s="762">
        <v>16968.68</v>
      </c>
      <c r="L73" s="736" t="s">
        <v>120</v>
      </c>
      <c r="M73" s="19"/>
      <c r="N73" s="19"/>
      <c r="O73" s="19"/>
      <c r="P73" s="19"/>
      <c r="Q73" s="19"/>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c r="CA73" s="16"/>
      <c r="CB73" s="16"/>
      <c r="CC73" s="16"/>
      <c r="CD73" s="16"/>
      <c r="CE73" s="16"/>
      <c r="CF73" s="16"/>
      <c r="CG73" s="16"/>
      <c r="CH73" s="16"/>
      <c r="CI73" s="16"/>
      <c r="CJ73" s="16"/>
      <c r="CK73" s="16"/>
      <c r="CL73" s="16"/>
      <c r="CM73" s="16"/>
      <c r="CN73" s="16"/>
      <c r="CO73" s="16"/>
      <c r="CP73" s="16"/>
      <c r="CQ73" s="16"/>
      <c r="CR73" s="16"/>
      <c r="CS73" s="16"/>
      <c r="CT73" s="16"/>
      <c r="CU73" s="16"/>
      <c r="CV73" s="16"/>
      <c r="CW73" s="16"/>
      <c r="CX73" s="16"/>
      <c r="CY73" s="16"/>
      <c r="CZ73" s="16"/>
      <c r="DA73" s="16"/>
      <c r="DB73" s="16"/>
      <c r="DC73" s="16"/>
      <c r="DD73" s="16"/>
      <c r="DE73" s="16"/>
      <c r="DF73" s="16"/>
      <c r="DG73" s="16"/>
      <c r="DH73" s="16"/>
      <c r="DI73" s="16"/>
      <c r="DJ73" s="16"/>
      <c r="DK73" s="16"/>
      <c r="DL73" s="16"/>
      <c r="DM73" s="16"/>
      <c r="DN73" s="16"/>
      <c r="DO73" s="16"/>
      <c r="DP73" s="16"/>
      <c r="DQ73" s="16"/>
      <c r="DR73" s="16"/>
      <c r="DS73" s="16"/>
    </row>
    <row r="74" spans="1:123" s="8" customFormat="1" ht="42" customHeight="1" x14ac:dyDescent="0.2">
      <c r="A74" s="1"/>
      <c r="B74" s="1070"/>
      <c r="C74" s="1030"/>
      <c r="D74" s="18" t="s">
        <v>152</v>
      </c>
      <c r="E74" s="481"/>
      <c r="F74" s="752"/>
      <c r="G74" s="478"/>
      <c r="H74" s="483"/>
      <c r="I74" s="744"/>
      <c r="J74" s="19"/>
      <c r="K74" s="167">
        <v>68910.320000000007</v>
      </c>
      <c r="L74" s="737" t="s">
        <v>120</v>
      </c>
      <c r="M74" s="19"/>
      <c r="N74" s="19"/>
      <c r="O74" s="19"/>
      <c r="P74" s="19"/>
      <c r="Q74" s="19"/>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c r="CA74" s="16"/>
      <c r="CB74" s="16"/>
      <c r="CC74" s="16"/>
      <c r="CD74" s="16"/>
      <c r="CE74" s="16"/>
      <c r="CF74" s="16"/>
      <c r="CG74" s="16"/>
      <c r="CH74" s="16"/>
      <c r="CI74" s="16"/>
      <c r="CJ74" s="16"/>
      <c r="CK74" s="16"/>
      <c r="CL74" s="16"/>
      <c r="CM74" s="16"/>
      <c r="CN74" s="16"/>
      <c r="CO74" s="16"/>
      <c r="CP74" s="16"/>
      <c r="CQ74" s="16"/>
      <c r="CR74" s="16"/>
      <c r="CS74" s="16"/>
      <c r="CT74" s="16"/>
      <c r="CU74" s="16"/>
      <c r="CV74" s="16"/>
      <c r="CW74" s="16"/>
      <c r="CX74" s="16"/>
      <c r="CY74" s="16"/>
      <c r="CZ74" s="16"/>
      <c r="DA74" s="16"/>
      <c r="DB74" s="16"/>
      <c r="DC74" s="16"/>
      <c r="DD74" s="16"/>
      <c r="DE74" s="16"/>
      <c r="DF74" s="16"/>
      <c r="DG74" s="16"/>
      <c r="DH74" s="16"/>
      <c r="DI74" s="16"/>
      <c r="DJ74" s="16"/>
      <c r="DK74" s="16"/>
      <c r="DL74" s="16"/>
      <c r="DM74" s="16"/>
      <c r="DN74" s="16"/>
      <c r="DO74" s="16"/>
      <c r="DP74" s="16"/>
      <c r="DQ74" s="16"/>
      <c r="DR74" s="16"/>
      <c r="DS74" s="16"/>
    </row>
    <row r="75" spans="1:123" s="8" customFormat="1" ht="42" customHeight="1" x14ac:dyDescent="0.2">
      <c r="A75" s="1"/>
      <c r="B75" s="1070"/>
      <c r="C75" s="1030"/>
      <c r="D75" s="18" t="s">
        <v>151</v>
      </c>
      <c r="E75" s="481"/>
      <c r="F75" s="752"/>
      <c r="G75" s="478"/>
      <c r="H75" s="483"/>
      <c r="I75" s="744"/>
      <c r="J75" s="19"/>
      <c r="K75" s="167">
        <v>44779.26</v>
      </c>
      <c r="L75" s="737" t="s">
        <v>120</v>
      </c>
      <c r="M75" s="19"/>
      <c r="N75" s="19"/>
      <c r="O75" s="19"/>
      <c r="P75" s="19"/>
      <c r="Q75" s="19"/>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c r="CA75" s="16"/>
      <c r="CB75" s="16"/>
      <c r="CC75" s="16"/>
      <c r="CD75" s="16"/>
      <c r="CE75" s="16"/>
      <c r="CF75" s="16"/>
      <c r="CG75" s="16"/>
      <c r="CH75" s="16"/>
      <c r="CI75" s="16"/>
      <c r="CJ75" s="16"/>
      <c r="CK75" s="16"/>
      <c r="CL75" s="16"/>
      <c r="CM75" s="16"/>
      <c r="CN75" s="16"/>
      <c r="CO75" s="16"/>
      <c r="CP75" s="16"/>
      <c r="CQ75" s="16"/>
      <c r="CR75" s="16"/>
      <c r="CS75" s="16"/>
      <c r="CT75" s="16"/>
      <c r="CU75" s="16"/>
      <c r="CV75" s="16"/>
      <c r="CW75" s="16"/>
      <c r="CX75" s="16"/>
      <c r="CY75" s="16"/>
      <c r="CZ75" s="16"/>
      <c r="DA75" s="16"/>
      <c r="DB75" s="16"/>
      <c r="DC75" s="16"/>
      <c r="DD75" s="16"/>
      <c r="DE75" s="16"/>
      <c r="DF75" s="16"/>
      <c r="DG75" s="16"/>
      <c r="DH75" s="16"/>
      <c r="DI75" s="16"/>
      <c r="DJ75" s="16"/>
      <c r="DK75" s="16"/>
      <c r="DL75" s="16"/>
      <c r="DM75" s="16"/>
      <c r="DN75" s="16"/>
      <c r="DO75" s="16"/>
      <c r="DP75" s="16"/>
      <c r="DQ75" s="16"/>
      <c r="DR75" s="16"/>
      <c r="DS75" s="16"/>
    </row>
    <row r="76" spans="1:123" s="8" customFormat="1" ht="42" customHeight="1" x14ac:dyDescent="0.2">
      <c r="A76" s="1"/>
      <c r="B76" s="1070"/>
      <c r="C76" s="1030"/>
      <c r="D76" s="18" t="s">
        <v>153</v>
      </c>
      <c r="E76" s="481"/>
      <c r="F76" s="752"/>
      <c r="G76" s="478"/>
      <c r="H76" s="483"/>
      <c r="I76" s="744"/>
      <c r="J76" s="19"/>
      <c r="K76" s="167">
        <v>0</v>
      </c>
      <c r="L76" s="737" t="s">
        <v>120</v>
      </c>
      <c r="M76" s="19"/>
      <c r="N76" s="19"/>
      <c r="O76" s="19"/>
      <c r="P76" s="19"/>
      <c r="Q76" s="19"/>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c r="CA76" s="16"/>
      <c r="CB76" s="16"/>
      <c r="CC76" s="16"/>
      <c r="CD76" s="16"/>
      <c r="CE76" s="16"/>
      <c r="CF76" s="16"/>
      <c r="CG76" s="16"/>
      <c r="CH76" s="16"/>
      <c r="CI76" s="16"/>
      <c r="CJ76" s="16"/>
      <c r="CK76" s="16"/>
      <c r="CL76" s="16"/>
      <c r="CM76" s="16"/>
      <c r="CN76" s="16"/>
      <c r="CO76" s="16"/>
      <c r="CP76" s="16"/>
      <c r="CQ76" s="16"/>
      <c r="CR76" s="16"/>
      <c r="CS76" s="16"/>
      <c r="CT76" s="16"/>
      <c r="CU76" s="16"/>
      <c r="CV76" s="16"/>
      <c r="CW76" s="16"/>
      <c r="CX76" s="16"/>
      <c r="CY76" s="16"/>
      <c r="CZ76" s="16"/>
      <c r="DA76" s="16"/>
      <c r="DB76" s="16"/>
      <c r="DC76" s="16"/>
      <c r="DD76" s="16"/>
      <c r="DE76" s="16"/>
      <c r="DF76" s="16"/>
      <c r="DG76" s="16"/>
      <c r="DH76" s="16"/>
      <c r="DI76" s="16"/>
      <c r="DJ76" s="16"/>
      <c r="DK76" s="16"/>
      <c r="DL76" s="16"/>
      <c r="DM76" s="16"/>
      <c r="DN76" s="16"/>
      <c r="DO76" s="16"/>
      <c r="DP76" s="16"/>
      <c r="DQ76" s="16"/>
      <c r="DR76" s="16"/>
      <c r="DS76" s="16"/>
    </row>
    <row r="77" spans="1:123" s="8" customFormat="1" ht="42" customHeight="1" x14ac:dyDescent="0.2">
      <c r="A77" s="1"/>
      <c r="B77" s="1070"/>
      <c r="C77" s="1030"/>
      <c r="D77" s="18" t="s">
        <v>154</v>
      </c>
      <c r="E77" s="481"/>
      <c r="F77" s="752"/>
      <c r="G77" s="478"/>
      <c r="H77" s="483"/>
      <c r="I77" s="744"/>
      <c r="J77" s="19"/>
      <c r="K77" s="167">
        <v>42616.86</v>
      </c>
      <c r="L77" s="737" t="s">
        <v>120</v>
      </c>
      <c r="M77" s="19"/>
      <c r="N77" s="19"/>
      <c r="O77" s="19"/>
      <c r="P77" s="19"/>
      <c r="Q77" s="19"/>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c r="CA77" s="16"/>
      <c r="CB77" s="16"/>
      <c r="CC77" s="16"/>
      <c r="CD77" s="16"/>
      <c r="CE77" s="16"/>
      <c r="CF77" s="16"/>
      <c r="CG77" s="16"/>
      <c r="CH77" s="16"/>
      <c r="CI77" s="16"/>
      <c r="CJ77" s="16"/>
      <c r="CK77" s="16"/>
      <c r="CL77" s="16"/>
      <c r="CM77" s="16"/>
      <c r="CN77" s="16"/>
      <c r="CO77" s="16"/>
      <c r="CP77" s="16"/>
      <c r="CQ77" s="16"/>
      <c r="CR77" s="16"/>
      <c r="CS77" s="16"/>
      <c r="CT77" s="16"/>
      <c r="CU77" s="16"/>
      <c r="CV77" s="16"/>
      <c r="CW77" s="16"/>
      <c r="CX77" s="16"/>
      <c r="CY77" s="16"/>
      <c r="CZ77" s="16"/>
      <c r="DA77" s="16"/>
      <c r="DB77" s="16"/>
      <c r="DC77" s="16"/>
      <c r="DD77" s="16"/>
      <c r="DE77" s="16"/>
      <c r="DF77" s="16"/>
      <c r="DG77" s="16"/>
      <c r="DH77" s="16"/>
      <c r="DI77" s="16"/>
      <c r="DJ77" s="16"/>
      <c r="DK77" s="16"/>
      <c r="DL77" s="16"/>
      <c r="DM77" s="16"/>
      <c r="DN77" s="16"/>
      <c r="DO77" s="16"/>
      <c r="DP77" s="16"/>
      <c r="DQ77" s="16"/>
      <c r="DR77" s="16"/>
      <c r="DS77" s="16"/>
    </row>
    <row r="78" spans="1:123" s="8" customFormat="1" ht="42" customHeight="1" x14ac:dyDescent="0.2">
      <c r="A78" s="1"/>
      <c r="B78" s="1070"/>
      <c r="C78" s="1030"/>
      <c r="D78" s="18" t="s">
        <v>155</v>
      </c>
      <c r="E78" s="481"/>
      <c r="F78" s="752"/>
      <c r="G78" s="478"/>
      <c r="H78" s="483"/>
      <c r="I78" s="744"/>
      <c r="J78" s="19"/>
      <c r="K78" s="167">
        <v>0</v>
      </c>
      <c r="L78" s="737" t="s">
        <v>120</v>
      </c>
      <c r="M78" s="19"/>
      <c r="N78" s="19"/>
      <c r="O78" s="19"/>
      <c r="P78" s="19"/>
      <c r="Q78" s="19"/>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c r="CA78" s="16"/>
      <c r="CB78" s="16"/>
      <c r="CC78" s="16"/>
      <c r="CD78" s="16"/>
      <c r="CE78" s="16"/>
      <c r="CF78" s="16"/>
      <c r="CG78" s="16"/>
      <c r="CH78" s="16"/>
      <c r="CI78" s="16"/>
      <c r="CJ78" s="16"/>
      <c r="CK78" s="16"/>
      <c r="CL78" s="16"/>
      <c r="CM78" s="16"/>
      <c r="CN78" s="16"/>
      <c r="CO78" s="16"/>
      <c r="CP78" s="16"/>
      <c r="CQ78" s="16"/>
      <c r="CR78" s="16"/>
      <c r="CS78" s="16"/>
      <c r="CT78" s="16"/>
      <c r="CU78" s="16"/>
      <c r="CV78" s="16"/>
      <c r="CW78" s="16"/>
      <c r="CX78" s="16"/>
      <c r="CY78" s="16"/>
      <c r="CZ78" s="16"/>
      <c r="DA78" s="16"/>
      <c r="DB78" s="16"/>
      <c r="DC78" s="16"/>
      <c r="DD78" s="16"/>
      <c r="DE78" s="16"/>
      <c r="DF78" s="16"/>
      <c r="DG78" s="16"/>
      <c r="DH78" s="16"/>
      <c r="DI78" s="16"/>
      <c r="DJ78" s="16"/>
      <c r="DK78" s="16"/>
      <c r="DL78" s="16"/>
      <c r="DM78" s="16"/>
      <c r="DN78" s="16"/>
      <c r="DO78" s="16"/>
      <c r="DP78" s="16"/>
      <c r="DQ78" s="16"/>
      <c r="DR78" s="16"/>
      <c r="DS78" s="16"/>
    </row>
    <row r="79" spans="1:123" s="8" customFormat="1" ht="42" customHeight="1" x14ac:dyDescent="0.2">
      <c r="A79" s="1"/>
      <c r="B79" s="1070"/>
      <c r="C79" s="1030"/>
      <c r="D79" s="18" t="s">
        <v>156</v>
      </c>
      <c r="E79" s="481"/>
      <c r="F79" s="752"/>
      <c r="G79" s="478"/>
      <c r="H79" s="483"/>
      <c r="I79" s="744"/>
      <c r="J79" s="19"/>
      <c r="K79" s="167">
        <v>12456.84</v>
      </c>
      <c r="L79" s="737" t="s">
        <v>120</v>
      </c>
      <c r="M79" s="19"/>
      <c r="N79" s="19"/>
      <c r="O79" s="19"/>
      <c r="P79" s="19"/>
      <c r="Q79" s="19"/>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c r="CG79" s="16"/>
      <c r="CH79" s="16"/>
      <c r="CI79" s="16"/>
      <c r="CJ79" s="16"/>
      <c r="CK79" s="16"/>
      <c r="CL79" s="16"/>
      <c r="CM79" s="16"/>
      <c r="CN79" s="16"/>
      <c r="CO79" s="16"/>
      <c r="CP79" s="16"/>
      <c r="CQ79" s="16"/>
      <c r="CR79" s="16"/>
      <c r="CS79" s="16"/>
      <c r="CT79" s="16"/>
      <c r="CU79" s="16"/>
      <c r="CV79" s="16"/>
      <c r="CW79" s="16"/>
      <c r="CX79" s="16"/>
      <c r="CY79" s="16"/>
      <c r="CZ79" s="16"/>
      <c r="DA79" s="16"/>
      <c r="DB79" s="16"/>
      <c r="DC79" s="16"/>
      <c r="DD79" s="16"/>
      <c r="DE79" s="16"/>
      <c r="DF79" s="16"/>
      <c r="DG79" s="16"/>
      <c r="DH79" s="16"/>
      <c r="DI79" s="16"/>
      <c r="DJ79" s="16"/>
      <c r="DK79" s="16"/>
      <c r="DL79" s="16"/>
      <c r="DM79" s="16"/>
      <c r="DN79" s="16"/>
      <c r="DO79" s="16"/>
      <c r="DP79" s="16"/>
      <c r="DQ79" s="16"/>
      <c r="DR79" s="16"/>
      <c r="DS79" s="16"/>
    </row>
    <row r="80" spans="1:123" s="8" customFormat="1" ht="42" customHeight="1" x14ac:dyDescent="0.2">
      <c r="A80" s="1"/>
      <c r="B80" s="1070"/>
      <c r="C80" s="1030"/>
      <c r="D80" s="18" t="s">
        <v>161</v>
      </c>
      <c r="E80" s="481"/>
      <c r="F80" s="752"/>
      <c r="G80" s="478"/>
      <c r="H80" s="483"/>
      <c r="I80" s="744"/>
      <c r="J80" s="19"/>
      <c r="K80" s="167">
        <v>121967.42</v>
      </c>
      <c r="L80" s="737" t="s">
        <v>120</v>
      </c>
      <c r="M80" s="19"/>
      <c r="N80" s="19"/>
      <c r="O80" s="19"/>
      <c r="P80" s="19"/>
      <c r="Q80" s="19"/>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6"/>
      <c r="CE80" s="16"/>
      <c r="CF80" s="16"/>
      <c r="CG80" s="16"/>
      <c r="CH80" s="16"/>
      <c r="CI80" s="16"/>
      <c r="CJ80" s="16"/>
      <c r="CK80" s="16"/>
      <c r="CL80" s="16"/>
      <c r="CM80" s="16"/>
      <c r="CN80" s="16"/>
      <c r="CO80" s="16"/>
      <c r="CP80" s="16"/>
      <c r="CQ80" s="16"/>
      <c r="CR80" s="16"/>
      <c r="CS80" s="16"/>
      <c r="CT80" s="16"/>
      <c r="CU80" s="16"/>
      <c r="CV80" s="16"/>
      <c r="CW80" s="16"/>
      <c r="CX80" s="16"/>
      <c r="CY80" s="16"/>
      <c r="CZ80" s="16"/>
      <c r="DA80" s="16"/>
      <c r="DB80" s="16"/>
      <c r="DC80" s="16"/>
      <c r="DD80" s="16"/>
      <c r="DE80" s="16"/>
      <c r="DF80" s="16"/>
      <c r="DG80" s="16"/>
      <c r="DH80" s="16"/>
      <c r="DI80" s="16"/>
      <c r="DJ80" s="16"/>
      <c r="DK80" s="16"/>
      <c r="DL80" s="16"/>
      <c r="DM80" s="16"/>
      <c r="DN80" s="16"/>
      <c r="DO80" s="16"/>
      <c r="DP80" s="16"/>
      <c r="DQ80" s="16"/>
      <c r="DR80" s="16"/>
      <c r="DS80" s="16"/>
    </row>
    <row r="81" spans="1:123" s="8" customFormat="1" ht="42" customHeight="1" x14ac:dyDescent="0.2">
      <c r="A81" s="1"/>
      <c r="B81" s="1070"/>
      <c r="C81" s="1030"/>
      <c r="D81" s="18" t="s">
        <v>157</v>
      </c>
      <c r="E81" s="481"/>
      <c r="F81" s="752"/>
      <c r="G81" s="478"/>
      <c r="H81" s="483"/>
      <c r="I81" s="744"/>
      <c r="J81" s="19"/>
      <c r="K81" s="167">
        <v>313398.7</v>
      </c>
      <c r="L81" s="737" t="s">
        <v>120</v>
      </c>
      <c r="M81" s="19"/>
      <c r="N81" s="19"/>
      <c r="O81" s="19"/>
      <c r="P81" s="19"/>
      <c r="Q81" s="19"/>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c r="CA81" s="16"/>
      <c r="CB81" s="16"/>
      <c r="CC81" s="16"/>
      <c r="CD81" s="16"/>
      <c r="CE81" s="16"/>
      <c r="CF81" s="16"/>
      <c r="CG81" s="16"/>
      <c r="CH81" s="16"/>
      <c r="CI81" s="16"/>
      <c r="CJ81" s="16"/>
      <c r="CK81" s="16"/>
      <c r="CL81" s="16"/>
      <c r="CM81" s="16"/>
      <c r="CN81" s="16"/>
      <c r="CO81" s="16"/>
      <c r="CP81" s="16"/>
      <c r="CQ81" s="16"/>
      <c r="CR81" s="16"/>
      <c r="CS81" s="16"/>
      <c r="CT81" s="16"/>
      <c r="CU81" s="16"/>
      <c r="CV81" s="16"/>
      <c r="CW81" s="16"/>
      <c r="CX81" s="16"/>
      <c r="CY81" s="16"/>
      <c r="CZ81" s="16"/>
      <c r="DA81" s="16"/>
      <c r="DB81" s="16"/>
      <c r="DC81" s="16"/>
      <c r="DD81" s="16"/>
      <c r="DE81" s="16"/>
      <c r="DF81" s="16"/>
      <c r="DG81" s="16"/>
      <c r="DH81" s="16"/>
      <c r="DI81" s="16"/>
      <c r="DJ81" s="16"/>
      <c r="DK81" s="16"/>
      <c r="DL81" s="16"/>
      <c r="DM81" s="16"/>
      <c r="DN81" s="16"/>
      <c r="DO81" s="16"/>
      <c r="DP81" s="16"/>
      <c r="DQ81" s="16"/>
      <c r="DR81" s="16"/>
      <c r="DS81" s="16"/>
    </row>
    <row r="82" spans="1:123" s="8" customFormat="1" ht="42" customHeight="1" x14ac:dyDescent="0.2">
      <c r="A82" s="1"/>
      <c r="B82" s="1070"/>
      <c r="C82" s="1030"/>
      <c r="D82" s="18" t="s">
        <v>158</v>
      </c>
      <c r="E82" s="481"/>
      <c r="F82" s="752"/>
      <c r="G82" s="478"/>
      <c r="H82" s="483"/>
      <c r="I82" s="744"/>
      <c r="J82" s="19"/>
      <c r="K82" s="167">
        <v>134455.92000000001</v>
      </c>
      <c r="L82" s="737" t="s">
        <v>120</v>
      </c>
      <c r="M82" s="19"/>
      <c r="N82" s="19"/>
      <c r="O82" s="19"/>
      <c r="P82" s="19"/>
      <c r="Q82" s="19"/>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row>
    <row r="83" spans="1:123" s="8" customFormat="1" ht="41.25" customHeight="1" x14ac:dyDescent="0.2">
      <c r="A83" s="1"/>
      <c r="B83" s="1070"/>
      <c r="C83" s="1030"/>
      <c r="D83" s="18" t="s">
        <v>162</v>
      </c>
      <c r="E83" s="481"/>
      <c r="F83" s="752"/>
      <c r="G83" s="478"/>
      <c r="H83" s="483"/>
      <c r="I83" s="744"/>
      <c r="J83" s="19"/>
      <c r="K83" s="167">
        <v>21532.66</v>
      </c>
      <c r="L83" s="737" t="s">
        <v>120</v>
      </c>
      <c r="M83" s="19"/>
      <c r="N83" s="19"/>
      <c r="O83" s="19"/>
      <c r="P83" s="19"/>
      <c r="Q83" s="19"/>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row>
    <row r="84" spans="1:123" s="8" customFormat="1" ht="39.75" customHeight="1" thickBot="1" x14ac:dyDescent="0.25">
      <c r="A84" s="1"/>
      <c r="B84" s="1070"/>
      <c r="C84" s="1031"/>
      <c r="D84" s="756" t="s">
        <v>163</v>
      </c>
      <c r="E84" s="753"/>
      <c r="F84" s="754"/>
      <c r="G84" s="478"/>
      <c r="H84" s="759"/>
      <c r="I84" s="764"/>
      <c r="J84" s="19"/>
      <c r="K84" s="763">
        <v>45122.78</v>
      </c>
      <c r="L84" s="739" t="s">
        <v>120</v>
      </c>
      <c r="M84" s="19"/>
      <c r="N84" s="19"/>
      <c r="O84" s="19"/>
      <c r="P84" s="19"/>
      <c r="Q84" s="19"/>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c r="CA84" s="16"/>
      <c r="CB84" s="16"/>
      <c r="CC84" s="16"/>
      <c r="CD84" s="16"/>
      <c r="CE84" s="16"/>
      <c r="CF84" s="16"/>
      <c r="CG84" s="16"/>
      <c r="CH84" s="16"/>
      <c r="CI84" s="16"/>
      <c r="CJ84" s="16"/>
      <c r="CK84" s="16"/>
      <c r="CL84" s="16"/>
      <c r="CM84" s="16"/>
      <c r="CN84" s="16"/>
      <c r="CO84" s="16"/>
      <c r="CP84" s="16"/>
      <c r="CQ84" s="16"/>
      <c r="CR84" s="16"/>
      <c r="CS84" s="16"/>
      <c r="CT84" s="16"/>
      <c r="CU84" s="16"/>
      <c r="CV84" s="16"/>
      <c r="CW84" s="16"/>
      <c r="CX84" s="16"/>
      <c r="CY84" s="16"/>
      <c r="CZ84" s="16"/>
      <c r="DA84" s="16"/>
      <c r="DB84" s="16"/>
      <c r="DC84" s="16"/>
      <c r="DD84" s="16"/>
      <c r="DE84" s="16"/>
      <c r="DF84" s="16"/>
      <c r="DG84" s="16"/>
      <c r="DH84" s="16"/>
      <c r="DI84" s="16"/>
      <c r="DJ84" s="16"/>
      <c r="DK84" s="16"/>
      <c r="DL84" s="16"/>
      <c r="DM84" s="16"/>
      <c r="DN84" s="16"/>
      <c r="DO84" s="16"/>
      <c r="DP84" s="16"/>
      <c r="DQ84" s="16"/>
      <c r="DR84" s="16"/>
      <c r="DS84" s="16"/>
    </row>
    <row r="85" spans="1:123" s="8" customFormat="1" ht="27.75" customHeight="1" thickBot="1" x14ac:dyDescent="0.25">
      <c r="A85" s="1"/>
      <c r="B85" s="1070"/>
      <c r="C85" s="1025" t="s">
        <v>68</v>
      </c>
      <c r="D85" s="1026"/>
      <c r="E85" s="768">
        <f>591412</f>
        <v>591412</v>
      </c>
      <c r="F85" s="769" t="s">
        <v>120</v>
      </c>
      <c r="G85" s="19"/>
      <c r="H85" s="766">
        <v>797760</v>
      </c>
      <c r="I85" s="767" t="s">
        <v>120</v>
      </c>
      <c r="J85" s="19"/>
      <c r="K85" s="760"/>
      <c r="L85" s="761"/>
      <c r="M85" s="19"/>
      <c r="N85" s="19"/>
      <c r="O85" s="19"/>
      <c r="P85" s="19"/>
      <c r="Q85" s="19"/>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c r="CY85" s="16"/>
      <c r="CZ85" s="16"/>
      <c r="DA85" s="16"/>
      <c r="DB85" s="16"/>
      <c r="DC85" s="16"/>
      <c r="DD85" s="16"/>
      <c r="DE85" s="16"/>
      <c r="DF85" s="16"/>
      <c r="DG85" s="16"/>
      <c r="DH85" s="16"/>
      <c r="DI85" s="16"/>
      <c r="DJ85" s="16"/>
      <c r="DK85" s="16"/>
      <c r="DL85" s="16"/>
      <c r="DM85" s="16"/>
      <c r="DN85" s="16"/>
      <c r="DO85" s="16"/>
      <c r="DP85" s="16"/>
      <c r="DQ85" s="16"/>
      <c r="DR85" s="16"/>
      <c r="DS85" s="16"/>
    </row>
    <row r="86" spans="1:123" s="8" customFormat="1" ht="41.25" customHeight="1" x14ac:dyDescent="0.2">
      <c r="A86" s="1"/>
      <c r="B86" s="1070"/>
      <c r="C86" s="1032" t="s">
        <v>187</v>
      </c>
      <c r="D86" s="730" t="s">
        <v>160</v>
      </c>
      <c r="E86" s="749"/>
      <c r="F86" s="749"/>
      <c r="G86" s="19"/>
      <c r="H86" s="741"/>
      <c r="I86" s="765"/>
      <c r="J86" s="19"/>
      <c r="K86" s="762">
        <f>15109.08+1549.42</f>
        <v>16658.5</v>
      </c>
      <c r="L86" s="736" t="s">
        <v>120</v>
      </c>
      <c r="M86" s="19"/>
      <c r="N86" s="19"/>
      <c r="O86" s="19"/>
      <c r="P86" s="19"/>
      <c r="Q86" s="19"/>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c r="CA86" s="16"/>
      <c r="CB86" s="16"/>
      <c r="CC86" s="16"/>
      <c r="CD86" s="16"/>
      <c r="CE86" s="16"/>
      <c r="CF86" s="16"/>
      <c r="CG86" s="16"/>
      <c r="CH86" s="16"/>
      <c r="CI86" s="16"/>
      <c r="CJ86" s="16"/>
      <c r="CK86" s="16"/>
      <c r="CL86" s="16"/>
      <c r="CM86" s="16"/>
      <c r="CN86" s="16"/>
      <c r="CO86" s="16"/>
      <c r="CP86" s="16"/>
      <c r="CQ86" s="16"/>
      <c r="CR86" s="16"/>
      <c r="CS86" s="16"/>
      <c r="CT86" s="16"/>
      <c r="CU86" s="16"/>
      <c r="CV86" s="16"/>
      <c r="CW86" s="16"/>
      <c r="CX86" s="16"/>
      <c r="CY86" s="16"/>
      <c r="CZ86" s="16"/>
      <c r="DA86" s="16"/>
      <c r="DB86" s="16"/>
      <c r="DC86" s="16"/>
      <c r="DD86" s="16"/>
      <c r="DE86" s="16"/>
      <c r="DF86" s="16"/>
      <c r="DG86" s="16"/>
      <c r="DH86" s="16"/>
      <c r="DI86" s="16"/>
      <c r="DJ86" s="16"/>
      <c r="DK86" s="16"/>
      <c r="DL86" s="16"/>
      <c r="DM86" s="16"/>
      <c r="DN86" s="16"/>
      <c r="DO86" s="16"/>
      <c r="DP86" s="16"/>
      <c r="DQ86" s="16"/>
      <c r="DR86" s="16"/>
      <c r="DS86" s="16"/>
    </row>
    <row r="87" spans="1:123" s="8" customFormat="1" ht="42" customHeight="1" x14ac:dyDescent="0.2">
      <c r="A87" s="1"/>
      <c r="B87" s="1070"/>
      <c r="C87" s="1032"/>
      <c r="D87" s="18" t="s">
        <v>152</v>
      </c>
      <c r="E87" s="481"/>
      <c r="F87" s="481"/>
      <c r="G87" s="19"/>
      <c r="H87" s="483"/>
      <c r="I87" s="744"/>
      <c r="J87" s="19"/>
      <c r="K87" s="167">
        <f>33865.59+23318.28</f>
        <v>57183.869999999995</v>
      </c>
      <c r="L87" s="737" t="s">
        <v>120</v>
      </c>
      <c r="M87" s="19"/>
      <c r="N87" s="19"/>
      <c r="O87" s="19"/>
      <c r="P87" s="19"/>
      <c r="Q87" s="19"/>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c r="CA87" s="16"/>
      <c r="CB87" s="16"/>
      <c r="CC87" s="16"/>
      <c r="CD87" s="16"/>
      <c r="CE87" s="16"/>
      <c r="CF87" s="16"/>
      <c r="CG87" s="16"/>
      <c r="CH87" s="16"/>
      <c r="CI87" s="16"/>
      <c r="CJ87" s="16"/>
      <c r="CK87" s="16"/>
      <c r="CL87" s="16"/>
      <c r="CM87" s="16"/>
      <c r="CN87" s="16"/>
      <c r="CO87" s="16"/>
      <c r="CP87" s="16"/>
      <c r="CQ87" s="16"/>
      <c r="CR87" s="16"/>
      <c r="CS87" s="16"/>
      <c r="CT87" s="16"/>
      <c r="CU87" s="16"/>
      <c r="CV87" s="16"/>
      <c r="CW87" s="16"/>
      <c r="CX87" s="16"/>
      <c r="CY87" s="16"/>
      <c r="CZ87" s="16"/>
      <c r="DA87" s="16"/>
      <c r="DB87" s="16"/>
      <c r="DC87" s="16"/>
      <c r="DD87" s="16"/>
      <c r="DE87" s="16"/>
      <c r="DF87" s="16"/>
      <c r="DG87" s="16"/>
      <c r="DH87" s="16"/>
      <c r="DI87" s="16"/>
      <c r="DJ87" s="16"/>
      <c r="DK87" s="16"/>
      <c r="DL87" s="16"/>
      <c r="DM87" s="16"/>
      <c r="DN87" s="16"/>
      <c r="DO87" s="16"/>
      <c r="DP87" s="16"/>
      <c r="DQ87" s="16"/>
      <c r="DR87" s="16"/>
      <c r="DS87" s="16"/>
    </row>
    <row r="88" spans="1:123" s="8" customFormat="1" ht="41.25" customHeight="1" x14ac:dyDescent="0.2">
      <c r="A88" s="1"/>
      <c r="B88" s="1070"/>
      <c r="C88" s="1032"/>
      <c r="D88" s="18" t="s">
        <v>151</v>
      </c>
      <c r="E88" s="481"/>
      <c r="F88" s="481"/>
      <c r="G88" s="19"/>
      <c r="H88" s="483"/>
      <c r="I88" s="744"/>
      <c r="J88" s="19"/>
      <c r="K88" s="167">
        <f>9882.68+9708.46</f>
        <v>19591.14</v>
      </c>
      <c r="L88" s="737" t="s">
        <v>120</v>
      </c>
      <c r="M88" s="19"/>
      <c r="N88" s="19"/>
      <c r="O88" s="19"/>
      <c r="P88" s="19"/>
      <c r="Q88" s="19"/>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c r="CA88" s="16"/>
      <c r="CB88" s="16"/>
      <c r="CC88" s="16"/>
      <c r="CD88" s="16"/>
      <c r="CE88" s="16"/>
      <c r="CF88" s="16"/>
      <c r="CG88" s="16"/>
      <c r="CH88" s="16"/>
      <c r="CI88" s="16"/>
      <c r="CJ88" s="16"/>
      <c r="CK88" s="16"/>
      <c r="CL88" s="16"/>
      <c r="CM88" s="16"/>
      <c r="CN88" s="16"/>
      <c r="CO88" s="16"/>
      <c r="CP88" s="16"/>
      <c r="CQ88" s="16"/>
      <c r="CR88" s="16"/>
      <c r="CS88" s="16"/>
      <c r="CT88" s="16"/>
      <c r="CU88" s="16"/>
      <c r="CV88" s="16"/>
      <c r="CW88" s="16"/>
      <c r="CX88" s="16"/>
      <c r="CY88" s="16"/>
      <c r="CZ88" s="16"/>
      <c r="DA88" s="16"/>
      <c r="DB88" s="16"/>
      <c r="DC88" s="16"/>
      <c r="DD88" s="16"/>
      <c r="DE88" s="16"/>
      <c r="DF88" s="16"/>
      <c r="DG88" s="16"/>
      <c r="DH88" s="16"/>
      <c r="DI88" s="16"/>
      <c r="DJ88" s="16"/>
      <c r="DK88" s="16"/>
      <c r="DL88" s="16"/>
      <c r="DM88" s="16"/>
      <c r="DN88" s="16"/>
      <c r="DO88" s="16"/>
      <c r="DP88" s="16"/>
      <c r="DQ88" s="16"/>
      <c r="DR88" s="16"/>
      <c r="DS88" s="16"/>
    </row>
    <row r="89" spans="1:123" s="8" customFormat="1" ht="42" customHeight="1" x14ac:dyDescent="0.2">
      <c r="A89" s="1"/>
      <c r="B89" s="1070"/>
      <c r="C89" s="1032"/>
      <c r="D89" s="18" t="s">
        <v>153</v>
      </c>
      <c r="E89" s="481"/>
      <c r="F89" s="481"/>
      <c r="G89" s="19"/>
      <c r="H89" s="483"/>
      <c r="I89" s="744"/>
      <c r="J89" s="19"/>
      <c r="K89" s="162">
        <v>0</v>
      </c>
      <c r="L89" s="737" t="s">
        <v>120</v>
      </c>
      <c r="M89" s="19"/>
      <c r="N89" s="19"/>
      <c r="O89" s="19"/>
      <c r="P89" s="19"/>
      <c r="Q89" s="19"/>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c r="CA89" s="16"/>
      <c r="CB89" s="16"/>
      <c r="CC89" s="16"/>
      <c r="CD89" s="16"/>
      <c r="CE89" s="16"/>
      <c r="CF89" s="16"/>
      <c r="CG89" s="16"/>
      <c r="CH89" s="16"/>
      <c r="CI89" s="16"/>
      <c r="CJ89" s="16"/>
      <c r="CK89" s="16"/>
      <c r="CL89" s="16"/>
      <c r="CM89" s="16"/>
      <c r="CN89" s="16"/>
      <c r="CO89" s="16"/>
      <c r="CP89" s="16"/>
      <c r="CQ89" s="16"/>
      <c r="CR89" s="16"/>
      <c r="CS89" s="16"/>
      <c r="CT89" s="16"/>
      <c r="CU89" s="16"/>
      <c r="CV89" s="16"/>
      <c r="CW89" s="16"/>
      <c r="CX89" s="16"/>
      <c r="CY89" s="16"/>
      <c r="CZ89" s="16"/>
      <c r="DA89" s="16"/>
      <c r="DB89" s="16"/>
      <c r="DC89" s="16"/>
      <c r="DD89" s="16"/>
      <c r="DE89" s="16"/>
      <c r="DF89" s="16"/>
      <c r="DG89" s="16"/>
      <c r="DH89" s="16"/>
      <c r="DI89" s="16"/>
      <c r="DJ89" s="16"/>
      <c r="DK89" s="16"/>
      <c r="DL89" s="16"/>
      <c r="DM89" s="16"/>
      <c r="DN89" s="16"/>
      <c r="DO89" s="16"/>
      <c r="DP89" s="16"/>
      <c r="DQ89" s="16"/>
      <c r="DR89" s="16"/>
      <c r="DS89" s="16"/>
    </row>
    <row r="90" spans="1:123" s="8" customFormat="1" ht="41.25" customHeight="1" x14ac:dyDescent="0.2">
      <c r="A90" s="1"/>
      <c r="B90" s="1070"/>
      <c r="C90" s="1032"/>
      <c r="D90" s="18" t="s">
        <v>154</v>
      </c>
      <c r="E90" s="481"/>
      <c r="F90" s="481"/>
      <c r="G90" s="19"/>
      <c r="H90" s="483"/>
      <c r="I90" s="744"/>
      <c r="J90" s="19"/>
      <c r="K90" s="162">
        <v>0</v>
      </c>
      <c r="L90" s="737" t="s">
        <v>120</v>
      </c>
      <c r="M90" s="19"/>
      <c r="N90" s="19"/>
      <c r="O90" s="19"/>
      <c r="P90" s="19"/>
      <c r="Q90" s="19"/>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c r="CA90" s="16"/>
      <c r="CB90" s="16"/>
      <c r="CC90" s="16"/>
      <c r="CD90" s="16"/>
      <c r="CE90" s="16"/>
      <c r="CF90" s="16"/>
      <c r="CG90" s="16"/>
      <c r="CH90" s="16"/>
      <c r="CI90" s="16"/>
      <c r="CJ90" s="16"/>
      <c r="CK90" s="16"/>
      <c r="CL90" s="16"/>
      <c r="CM90" s="16"/>
      <c r="CN90" s="16"/>
      <c r="CO90" s="16"/>
      <c r="CP90" s="16"/>
      <c r="CQ90" s="16"/>
      <c r="CR90" s="16"/>
      <c r="CS90" s="16"/>
      <c r="CT90" s="16"/>
      <c r="CU90" s="16"/>
      <c r="CV90" s="16"/>
      <c r="CW90" s="16"/>
      <c r="CX90" s="16"/>
      <c r="CY90" s="16"/>
      <c r="CZ90" s="16"/>
      <c r="DA90" s="16"/>
      <c r="DB90" s="16"/>
      <c r="DC90" s="16"/>
      <c r="DD90" s="16"/>
      <c r="DE90" s="16"/>
      <c r="DF90" s="16"/>
      <c r="DG90" s="16"/>
      <c r="DH90" s="16"/>
      <c r="DI90" s="16"/>
      <c r="DJ90" s="16"/>
      <c r="DK90" s="16"/>
      <c r="DL90" s="16"/>
      <c r="DM90" s="16"/>
      <c r="DN90" s="16"/>
      <c r="DO90" s="16"/>
      <c r="DP90" s="16"/>
      <c r="DQ90" s="16"/>
      <c r="DR90" s="16"/>
      <c r="DS90" s="16"/>
    </row>
    <row r="91" spans="1:123" s="8" customFormat="1" ht="39.75" customHeight="1" x14ac:dyDescent="0.2">
      <c r="A91" s="1"/>
      <c r="B91" s="1070"/>
      <c r="C91" s="1032"/>
      <c r="D91" s="18" t="s">
        <v>155</v>
      </c>
      <c r="E91" s="481"/>
      <c r="F91" s="481"/>
      <c r="G91" s="19"/>
      <c r="H91" s="483"/>
      <c r="I91" s="744"/>
      <c r="J91" s="19"/>
      <c r="K91" s="162">
        <v>0</v>
      </c>
      <c r="L91" s="737" t="s">
        <v>120</v>
      </c>
      <c r="M91" s="19"/>
      <c r="N91" s="19"/>
      <c r="O91" s="19"/>
      <c r="P91" s="19"/>
      <c r="Q91" s="19"/>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c r="CA91" s="16"/>
      <c r="CB91" s="16"/>
      <c r="CC91" s="16"/>
      <c r="CD91" s="16"/>
      <c r="CE91" s="16"/>
      <c r="CF91" s="16"/>
      <c r="CG91" s="16"/>
      <c r="CH91" s="16"/>
      <c r="CI91" s="16"/>
      <c r="CJ91" s="16"/>
      <c r="CK91" s="16"/>
      <c r="CL91" s="16"/>
      <c r="CM91" s="16"/>
      <c r="CN91" s="16"/>
      <c r="CO91" s="16"/>
      <c r="CP91" s="16"/>
      <c r="CQ91" s="16"/>
      <c r="CR91" s="16"/>
      <c r="CS91" s="16"/>
      <c r="CT91" s="16"/>
      <c r="CU91" s="16"/>
      <c r="CV91" s="16"/>
      <c r="CW91" s="16"/>
      <c r="CX91" s="16"/>
      <c r="CY91" s="16"/>
      <c r="CZ91" s="16"/>
      <c r="DA91" s="16"/>
      <c r="DB91" s="16"/>
      <c r="DC91" s="16"/>
      <c r="DD91" s="16"/>
      <c r="DE91" s="16"/>
      <c r="DF91" s="16"/>
      <c r="DG91" s="16"/>
      <c r="DH91" s="16"/>
      <c r="DI91" s="16"/>
      <c r="DJ91" s="16"/>
      <c r="DK91" s="16"/>
      <c r="DL91" s="16"/>
      <c r="DM91" s="16"/>
      <c r="DN91" s="16"/>
      <c r="DO91" s="16"/>
      <c r="DP91" s="16"/>
      <c r="DQ91" s="16"/>
      <c r="DR91" s="16"/>
      <c r="DS91" s="16"/>
    </row>
    <row r="92" spans="1:123" s="8" customFormat="1" ht="42.75" customHeight="1" x14ac:dyDescent="0.2">
      <c r="A92" s="1"/>
      <c r="B92" s="1070"/>
      <c r="C92" s="1032"/>
      <c r="D92" s="18" t="s">
        <v>156</v>
      </c>
      <c r="E92" s="481"/>
      <c r="F92" s="481"/>
      <c r="G92" s="19"/>
      <c r="H92" s="483"/>
      <c r="I92" s="744"/>
      <c r="J92" s="19"/>
      <c r="K92" s="167">
        <v>143257.68</v>
      </c>
      <c r="L92" s="737" t="s">
        <v>120</v>
      </c>
      <c r="M92" s="19"/>
      <c r="N92" s="19"/>
      <c r="O92" s="19"/>
      <c r="P92" s="19"/>
      <c r="Q92" s="19"/>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c r="CA92" s="16"/>
      <c r="CB92" s="16"/>
      <c r="CC92" s="16"/>
      <c r="CD92" s="16"/>
      <c r="CE92" s="16"/>
      <c r="CF92" s="16"/>
      <c r="CG92" s="16"/>
      <c r="CH92" s="16"/>
      <c r="CI92" s="16"/>
      <c r="CJ92" s="16"/>
      <c r="CK92" s="16"/>
      <c r="CL92" s="16"/>
      <c r="CM92" s="16"/>
      <c r="CN92" s="16"/>
      <c r="CO92" s="16"/>
      <c r="CP92" s="16"/>
      <c r="CQ92" s="16"/>
      <c r="CR92" s="16"/>
      <c r="CS92" s="16"/>
      <c r="CT92" s="16"/>
      <c r="CU92" s="16"/>
      <c r="CV92" s="16"/>
      <c r="CW92" s="16"/>
      <c r="CX92" s="16"/>
      <c r="CY92" s="16"/>
      <c r="CZ92" s="16"/>
      <c r="DA92" s="16"/>
      <c r="DB92" s="16"/>
      <c r="DC92" s="16"/>
      <c r="DD92" s="16"/>
      <c r="DE92" s="16"/>
      <c r="DF92" s="16"/>
      <c r="DG92" s="16"/>
      <c r="DH92" s="16"/>
      <c r="DI92" s="16"/>
      <c r="DJ92" s="16"/>
      <c r="DK92" s="16"/>
      <c r="DL92" s="16"/>
      <c r="DM92" s="16"/>
      <c r="DN92" s="16"/>
      <c r="DO92" s="16"/>
      <c r="DP92" s="16"/>
      <c r="DQ92" s="16"/>
      <c r="DR92" s="16"/>
      <c r="DS92" s="16"/>
    </row>
    <row r="93" spans="1:123" s="8" customFormat="1" ht="41.25" customHeight="1" x14ac:dyDescent="0.2">
      <c r="A93" s="1"/>
      <c r="B93" s="1070"/>
      <c r="C93" s="1032"/>
      <c r="D93" s="18" t="s">
        <v>161</v>
      </c>
      <c r="E93" s="481"/>
      <c r="F93" s="481"/>
      <c r="G93" s="19"/>
      <c r="H93" s="483"/>
      <c r="I93" s="744"/>
      <c r="J93" s="19"/>
      <c r="K93" s="167">
        <f>38248.12+85863.24</f>
        <v>124111.36000000002</v>
      </c>
      <c r="L93" s="737" t="s">
        <v>120</v>
      </c>
      <c r="M93" s="19"/>
      <c r="N93" s="19"/>
      <c r="O93" s="19"/>
      <c r="P93" s="19"/>
      <c r="Q93" s="19"/>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c r="CA93" s="16"/>
      <c r="CB93" s="16"/>
      <c r="CC93" s="16"/>
      <c r="CD93" s="16"/>
      <c r="CE93" s="16"/>
      <c r="CF93" s="16"/>
      <c r="CG93" s="16"/>
      <c r="CH93" s="16"/>
      <c r="CI93" s="16"/>
      <c r="CJ93" s="16"/>
      <c r="CK93" s="16"/>
      <c r="CL93" s="16"/>
      <c r="CM93" s="16"/>
      <c r="CN93" s="16"/>
      <c r="CO93" s="16"/>
      <c r="CP93" s="16"/>
      <c r="CQ93" s="16"/>
      <c r="CR93" s="16"/>
      <c r="CS93" s="16"/>
      <c r="CT93" s="16"/>
      <c r="CU93" s="16"/>
      <c r="CV93" s="16"/>
      <c r="CW93" s="16"/>
      <c r="CX93" s="16"/>
      <c r="CY93" s="16"/>
      <c r="CZ93" s="16"/>
      <c r="DA93" s="16"/>
      <c r="DB93" s="16"/>
      <c r="DC93" s="16"/>
      <c r="DD93" s="16"/>
      <c r="DE93" s="16"/>
      <c r="DF93" s="16"/>
      <c r="DG93" s="16"/>
      <c r="DH93" s="16"/>
      <c r="DI93" s="16"/>
      <c r="DJ93" s="16"/>
      <c r="DK93" s="16"/>
      <c r="DL93" s="16"/>
      <c r="DM93" s="16"/>
      <c r="DN93" s="16"/>
      <c r="DO93" s="16"/>
      <c r="DP93" s="16"/>
      <c r="DQ93" s="16"/>
      <c r="DR93" s="16"/>
      <c r="DS93" s="16"/>
    </row>
    <row r="94" spans="1:123" s="8" customFormat="1" ht="42" customHeight="1" x14ac:dyDescent="0.2">
      <c r="A94" s="1"/>
      <c r="B94" s="1070"/>
      <c r="C94" s="1032"/>
      <c r="D94" s="18" t="s">
        <v>157</v>
      </c>
      <c r="E94" s="481"/>
      <c r="F94" s="481"/>
      <c r="G94" s="19"/>
      <c r="H94" s="483"/>
      <c r="I94" s="744"/>
      <c r="J94" s="19"/>
      <c r="K94" s="167">
        <f>94873.8+16211.98</f>
        <v>111085.78</v>
      </c>
      <c r="L94" s="737" t="s">
        <v>120</v>
      </c>
      <c r="M94" s="19"/>
      <c r="N94" s="19"/>
      <c r="O94" s="19"/>
      <c r="P94" s="19"/>
      <c r="Q94" s="19"/>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c r="CA94" s="16"/>
      <c r="CB94" s="16"/>
      <c r="CC94" s="16"/>
      <c r="CD94" s="16"/>
      <c r="CE94" s="16"/>
      <c r="CF94" s="16"/>
      <c r="CG94" s="16"/>
      <c r="CH94" s="16"/>
      <c r="CI94" s="16"/>
      <c r="CJ94" s="16"/>
      <c r="CK94" s="16"/>
      <c r="CL94" s="16"/>
      <c r="CM94" s="16"/>
      <c r="CN94" s="16"/>
      <c r="CO94" s="16"/>
      <c r="CP94" s="16"/>
      <c r="CQ94" s="16"/>
      <c r="CR94" s="16"/>
      <c r="CS94" s="16"/>
      <c r="CT94" s="16"/>
      <c r="CU94" s="16"/>
      <c r="CV94" s="16"/>
      <c r="CW94" s="16"/>
      <c r="CX94" s="16"/>
      <c r="CY94" s="16"/>
      <c r="CZ94" s="16"/>
      <c r="DA94" s="16"/>
      <c r="DB94" s="16"/>
      <c r="DC94" s="16"/>
      <c r="DD94" s="16"/>
      <c r="DE94" s="16"/>
      <c r="DF94" s="16"/>
      <c r="DG94" s="16"/>
      <c r="DH94" s="16"/>
      <c r="DI94" s="16"/>
      <c r="DJ94" s="16"/>
      <c r="DK94" s="16"/>
      <c r="DL94" s="16"/>
      <c r="DM94" s="16"/>
      <c r="DN94" s="16"/>
      <c r="DO94" s="16"/>
      <c r="DP94" s="16"/>
      <c r="DQ94" s="16"/>
      <c r="DR94" s="16"/>
      <c r="DS94" s="16"/>
    </row>
    <row r="95" spans="1:123" s="8" customFormat="1" ht="41.25" customHeight="1" x14ac:dyDescent="0.2">
      <c r="A95" s="1"/>
      <c r="B95" s="1070"/>
      <c r="C95" s="1032"/>
      <c r="D95" s="18" t="s">
        <v>158</v>
      </c>
      <c r="E95" s="481"/>
      <c r="F95" s="481"/>
      <c r="G95" s="19"/>
      <c r="H95" s="483"/>
      <c r="I95" s="744"/>
      <c r="J95" s="19"/>
      <c r="K95" s="167">
        <v>229529.25</v>
      </c>
      <c r="L95" s="737" t="s">
        <v>120</v>
      </c>
      <c r="M95" s="19"/>
      <c r="N95" s="19"/>
      <c r="O95" s="19"/>
      <c r="P95" s="19"/>
      <c r="Q95" s="19"/>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c r="CA95" s="16"/>
      <c r="CB95" s="16"/>
      <c r="CC95" s="16"/>
      <c r="CD95" s="16"/>
      <c r="CE95" s="16"/>
      <c r="CF95" s="16"/>
      <c r="CG95" s="16"/>
      <c r="CH95" s="16"/>
      <c r="CI95" s="16"/>
      <c r="CJ95" s="16"/>
      <c r="CK95" s="16"/>
      <c r="CL95" s="16"/>
      <c r="CM95" s="16"/>
      <c r="CN95" s="16"/>
      <c r="CO95" s="16"/>
      <c r="CP95" s="16"/>
      <c r="CQ95" s="16"/>
      <c r="CR95" s="16"/>
      <c r="CS95" s="16"/>
      <c r="CT95" s="16"/>
      <c r="CU95" s="16"/>
      <c r="CV95" s="16"/>
      <c r="CW95" s="16"/>
      <c r="CX95" s="16"/>
      <c r="CY95" s="16"/>
      <c r="CZ95" s="16"/>
      <c r="DA95" s="16"/>
      <c r="DB95" s="16"/>
      <c r="DC95" s="16"/>
      <c r="DD95" s="16"/>
      <c r="DE95" s="16"/>
      <c r="DF95" s="16"/>
      <c r="DG95" s="16"/>
      <c r="DH95" s="16"/>
      <c r="DI95" s="16"/>
      <c r="DJ95" s="16"/>
      <c r="DK95" s="16"/>
      <c r="DL95" s="16"/>
      <c r="DM95" s="16"/>
      <c r="DN95" s="16"/>
      <c r="DO95" s="16"/>
      <c r="DP95" s="16"/>
      <c r="DQ95" s="16"/>
      <c r="DR95" s="16"/>
      <c r="DS95" s="16"/>
    </row>
    <row r="96" spans="1:123" s="8" customFormat="1" ht="42" customHeight="1" x14ac:dyDescent="0.2">
      <c r="A96" s="1"/>
      <c r="B96" s="1070"/>
      <c r="C96" s="1032"/>
      <c r="D96" s="18" t="s">
        <v>165</v>
      </c>
      <c r="E96" s="481"/>
      <c r="F96" s="481"/>
      <c r="G96" s="19"/>
      <c r="H96" s="483"/>
      <c r="I96" s="744"/>
      <c r="J96" s="19"/>
      <c r="K96" s="167">
        <f>40265.04</f>
        <v>40265.040000000001</v>
      </c>
      <c r="L96" s="737" t="s">
        <v>120</v>
      </c>
      <c r="M96" s="19"/>
      <c r="N96" s="19"/>
      <c r="O96" s="19"/>
      <c r="P96" s="19"/>
      <c r="Q96" s="19"/>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c r="CA96" s="16"/>
      <c r="CB96" s="16"/>
      <c r="CC96" s="16"/>
      <c r="CD96" s="16"/>
      <c r="CE96" s="16"/>
      <c r="CF96" s="16"/>
      <c r="CG96" s="16"/>
      <c r="CH96" s="16"/>
      <c r="CI96" s="16"/>
      <c r="CJ96" s="16"/>
      <c r="CK96" s="16"/>
      <c r="CL96" s="16"/>
      <c r="CM96" s="16"/>
      <c r="CN96" s="16"/>
      <c r="CO96" s="16"/>
      <c r="CP96" s="16"/>
      <c r="CQ96" s="16"/>
      <c r="CR96" s="16"/>
      <c r="CS96" s="16"/>
      <c r="CT96" s="16"/>
      <c r="CU96" s="16"/>
      <c r="CV96" s="16"/>
      <c r="CW96" s="16"/>
      <c r="CX96" s="16"/>
      <c r="CY96" s="16"/>
      <c r="CZ96" s="16"/>
      <c r="DA96" s="16"/>
      <c r="DB96" s="16"/>
      <c r="DC96" s="16"/>
      <c r="DD96" s="16"/>
      <c r="DE96" s="16"/>
      <c r="DF96" s="16"/>
      <c r="DG96" s="16"/>
      <c r="DH96" s="16"/>
      <c r="DI96" s="16"/>
      <c r="DJ96" s="16"/>
      <c r="DK96" s="16"/>
      <c r="DL96" s="16"/>
      <c r="DM96" s="16"/>
      <c r="DN96" s="16"/>
      <c r="DO96" s="16"/>
      <c r="DP96" s="16"/>
      <c r="DQ96" s="16"/>
      <c r="DR96" s="16"/>
      <c r="DS96" s="16"/>
    </row>
    <row r="97" spans="1:123" s="8" customFormat="1" ht="44.25" customHeight="1" thickBot="1" x14ac:dyDescent="0.25">
      <c r="A97" s="1"/>
      <c r="B97" s="1070"/>
      <c r="C97" s="1032"/>
      <c r="D97" s="509" t="s">
        <v>163</v>
      </c>
      <c r="E97" s="770"/>
      <c r="F97" s="770"/>
      <c r="G97" s="19"/>
      <c r="H97" s="758"/>
      <c r="I97" s="746"/>
      <c r="J97" s="19"/>
      <c r="K97" s="763">
        <f>135915.57+22096.82</f>
        <v>158012.39000000001</v>
      </c>
      <c r="L97" s="739" t="s">
        <v>120</v>
      </c>
      <c r="M97" s="19"/>
      <c r="N97" s="19"/>
      <c r="O97" s="19"/>
      <c r="P97" s="19"/>
      <c r="Q97" s="19"/>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c r="CA97" s="16"/>
      <c r="CB97" s="16"/>
      <c r="CC97" s="16"/>
      <c r="CD97" s="16"/>
      <c r="CE97" s="16"/>
      <c r="CF97" s="16"/>
      <c r="CG97" s="16"/>
      <c r="CH97" s="16"/>
      <c r="CI97" s="16"/>
      <c r="CJ97" s="16"/>
      <c r="CK97" s="16"/>
      <c r="CL97" s="16"/>
      <c r="CM97" s="16"/>
      <c r="CN97" s="16"/>
      <c r="CO97" s="16"/>
      <c r="CP97" s="16"/>
      <c r="CQ97" s="16"/>
      <c r="CR97" s="16"/>
      <c r="CS97" s="16"/>
      <c r="CT97" s="16"/>
      <c r="CU97" s="16"/>
      <c r="CV97" s="16"/>
      <c r="CW97" s="16"/>
      <c r="CX97" s="16"/>
      <c r="CY97" s="16"/>
      <c r="CZ97" s="16"/>
      <c r="DA97" s="16"/>
      <c r="DB97" s="16"/>
      <c r="DC97" s="16"/>
      <c r="DD97" s="16"/>
      <c r="DE97" s="16"/>
      <c r="DF97" s="16"/>
      <c r="DG97" s="16"/>
      <c r="DH97" s="16"/>
      <c r="DI97" s="16"/>
      <c r="DJ97" s="16"/>
      <c r="DK97" s="16"/>
      <c r="DL97" s="16"/>
      <c r="DM97" s="16"/>
      <c r="DN97" s="16"/>
      <c r="DO97" s="16"/>
      <c r="DP97" s="16"/>
      <c r="DQ97" s="16"/>
      <c r="DR97" s="16"/>
      <c r="DS97" s="16"/>
    </row>
    <row r="98" spans="1:123" s="8" customFormat="1" ht="30" customHeight="1" thickBot="1" x14ac:dyDescent="0.25">
      <c r="A98" s="1"/>
      <c r="B98" s="1070"/>
      <c r="C98" s="1025" t="s">
        <v>69</v>
      </c>
      <c r="D98" s="1026"/>
      <c r="E98" s="768">
        <v>1043390</v>
      </c>
      <c r="F98" s="769" t="s">
        <v>120</v>
      </c>
      <c r="G98" s="19"/>
      <c r="H98" s="766">
        <v>595866</v>
      </c>
      <c r="I98" s="767" t="s">
        <v>120</v>
      </c>
      <c r="J98" s="19"/>
      <c r="K98" s="771"/>
      <c r="L98" s="772"/>
      <c r="M98" s="19"/>
      <c r="N98" s="19"/>
      <c r="O98" s="19"/>
      <c r="P98" s="19"/>
      <c r="Q98" s="19"/>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c r="CA98" s="16"/>
      <c r="CB98" s="16"/>
      <c r="CC98" s="16"/>
      <c r="CD98" s="16"/>
      <c r="CE98" s="16"/>
      <c r="CF98" s="16"/>
      <c r="CG98" s="16"/>
      <c r="CH98" s="16"/>
      <c r="CI98" s="16"/>
      <c r="CJ98" s="16"/>
      <c r="CK98" s="16"/>
      <c r="CL98" s="16"/>
      <c r="CM98" s="16"/>
      <c r="CN98" s="16"/>
      <c r="CO98" s="16"/>
      <c r="CP98" s="16"/>
      <c r="CQ98" s="16"/>
      <c r="CR98" s="16"/>
      <c r="CS98" s="16"/>
      <c r="CT98" s="16"/>
      <c r="CU98" s="16"/>
      <c r="CV98" s="16"/>
      <c r="CW98" s="16"/>
      <c r="CX98" s="16"/>
      <c r="CY98" s="16"/>
      <c r="CZ98" s="16"/>
      <c r="DA98" s="16"/>
      <c r="DB98" s="16"/>
      <c r="DC98" s="16"/>
      <c r="DD98" s="16"/>
      <c r="DE98" s="16"/>
      <c r="DF98" s="16"/>
      <c r="DG98" s="16"/>
      <c r="DH98" s="16"/>
      <c r="DI98" s="16"/>
      <c r="DJ98" s="16"/>
      <c r="DK98" s="16"/>
      <c r="DL98" s="16"/>
      <c r="DM98" s="16"/>
      <c r="DN98" s="16"/>
      <c r="DO98" s="16"/>
      <c r="DP98" s="16"/>
      <c r="DQ98" s="16"/>
      <c r="DR98" s="16"/>
      <c r="DS98" s="16"/>
    </row>
    <row r="99" spans="1:123" s="8" customFormat="1" ht="30" customHeight="1" x14ac:dyDescent="0.2">
      <c r="A99" s="1"/>
      <c r="B99" s="1070"/>
      <c r="C99" s="1037" t="s">
        <v>188</v>
      </c>
      <c r="D99" s="755" t="s">
        <v>148</v>
      </c>
      <c r="E99" s="750"/>
      <c r="F99" s="751"/>
      <c r="G99" s="19"/>
      <c r="H99" s="757"/>
      <c r="I99" s="743"/>
      <c r="J99" s="19"/>
      <c r="K99" s="762">
        <f>120000+53500</f>
        <v>173500</v>
      </c>
      <c r="L99" s="736" t="s">
        <v>120</v>
      </c>
      <c r="M99" s="19"/>
      <c r="N99" s="19"/>
      <c r="O99" s="19"/>
      <c r="P99" s="19"/>
      <c r="Q99" s="19"/>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c r="CA99" s="16"/>
      <c r="CB99" s="16"/>
      <c r="CC99" s="16"/>
      <c r="CD99" s="16"/>
      <c r="CE99" s="16"/>
      <c r="CF99" s="16"/>
      <c r="CG99" s="16"/>
      <c r="CH99" s="16"/>
      <c r="CI99" s="16"/>
      <c r="CJ99" s="16"/>
      <c r="CK99" s="16"/>
      <c r="CL99" s="16"/>
      <c r="CM99" s="16"/>
      <c r="CN99" s="16"/>
      <c r="CO99" s="16"/>
      <c r="CP99" s="16"/>
      <c r="CQ99" s="16"/>
      <c r="CR99" s="16"/>
      <c r="CS99" s="16"/>
      <c r="CT99" s="16"/>
      <c r="CU99" s="16"/>
      <c r="CV99" s="16"/>
      <c r="CW99" s="16"/>
      <c r="CX99" s="16"/>
      <c r="CY99" s="16"/>
      <c r="CZ99" s="16"/>
      <c r="DA99" s="16"/>
      <c r="DB99" s="16"/>
      <c r="DC99" s="16"/>
      <c r="DD99" s="16"/>
      <c r="DE99" s="16"/>
      <c r="DF99" s="16"/>
      <c r="DG99" s="16"/>
      <c r="DH99" s="16"/>
      <c r="DI99" s="16"/>
      <c r="DJ99" s="16"/>
      <c r="DK99" s="16"/>
      <c r="DL99" s="16"/>
      <c r="DM99" s="16"/>
      <c r="DN99" s="16"/>
      <c r="DO99" s="16"/>
      <c r="DP99" s="16"/>
      <c r="DQ99" s="16"/>
      <c r="DR99" s="16"/>
      <c r="DS99" s="16"/>
    </row>
    <row r="100" spans="1:123" s="8" customFormat="1" ht="30" customHeight="1" x14ac:dyDescent="0.2">
      <c r="A100" s="1"/>
      <c r="B100" s="1070"/>
      <c r="C100" s="1032"/>
      <c r="D100" s="18" t="s">
        <v>149</v>
      </c>
      <c r="E100" s="481"/>
      <c r="F100" s="752"/>
      <c r="G100" s="19"/>
      <c r="H100" s="483"/>
      <c r="I100" s="744"/>
      <c r="J100" s="19"/>
      <c r="K100" s="167">
        <f>120000+53500</f>
        <v>173500</v>
      </c>
      <c r="L100" s="737" t="s">
        <v>120</v>
      </c>
      <c r="M100" s="19"/>
      <c r="N100" s="19"/>
      <c r="O100" s="19"/>
      <c r="P100" s="19"/>
      <c r="Q100" s="19"/>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c r="CA100" s="16"/>
      <c r="CB100" s="16"/>
      <c r="CC100" s="16"/>
      <c r="CD100" s="16"/>
      <c r="CE100" s="16"/>
      <c r="CF100" s="16"/>
      <c r="CG100" s="16"/>
      <c r="CH100" s="16"/>
      <c r="CI100" s="16"/>
      <c r="CJ100" s="16"/>
      <c r="CK100" s="16"/>
      <c r="CL100" s="16"/>
      <c r="CM100" s="16"/>
      <c r="CN100" s="16"/>
      <c r="CO100" s="16"/>
      <c r="CP100" s="16"/>
      <c r="CQ100" s="16"/>
      <c r="CR100" s="16"/>
      <c r="CS100" s="16"/>
      <c r="CT100" s="16"/>
      <c r="CU100" s="16"/>
      <c r="CV100" s="16"/>
      <c r="CW100" s="16"/>
      <c r="CX100" s="16"/>
      <c r="CY100" s="16"/>
      <c r="CZ100" s="16"/>
      <c r="DA100" s="16"/>
      <c r="DB100" s="16"/>
      <c r="DC100" s="16"/>
      <c r="DD100" s="16"/>
      <c r="DE100" s="16"/>
      <c r="DF100" s="16"/>
      <c r="DG100" s="16"/>
      <c r="DH100" s="16"/>
      <c r="DI100" s="16"/>
      <c r="DJ100" s="16"/>
      <c r="DK100" s="16"/>
      <c r="DL100" s="16"/>
      <c r="DM100" s="16"/>
      <c r="DN100" s="16"/>
      <c r="DO100" s="16"/>
      <c r="DP100" s="16"/>
      <c r="DQ100" s="16"/>
      <c r="DR100" s="16"/>
      <c r="DS100" s="16"/>
    </row>
    <row r="101" spans="1:123" s="8" customFormat="1" ht="38.25" x14ac:dyDescent="0.2">
      <c r="A101" s="1"/>
      <c r="B101" s="1070"/>
      <c r="C101" s="1032"/>
      <c r="D101" s="18" t="s">
        <v>160</v>
      </c>
      <c r="E101" s="481"/>
      <c r="F101" s="752"/>
      <c r="G101" s="19"/>
      <c r="H101" s="483"/>
      <c r="I101" s="744"/>
      <c r="J101" s="19"/>
      <c r="K101" s="167">
        <f>27974.12+16477</f>
        <v>44451.119999999995</v>
      </c>
      <c r="L101" s="737" t="s">
        <v>120</v>
      </c>
      <c r="M101" s="19"/>
      <c r="N101" s="19"/>
      <c r="O101" s="19"/>
      <c r="P101" s="19"/>
      <c r="Q101" s="19"/>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c r="CA101" s="16"/>
      <c r="CB101" s="16"/>
      <c r="CC101" s="16"/>
      <c r="CD101" s="16"/>
      <c r="CE101" s="16"/>
      <c r="CF101" s="16"/>
      <c r="CG101" s="16"/>
      <c r="CH101" s="16"/>
      <c r="CI101" s="16"/>
      <c r="CJ101" s="16"/>
      <c r="CK101" s="16"/>
      <c r="CL101" s="16"/>
      <c r="CM101" s="16"/>
      <c r="CN101" s="16"/>
      <c r="CO101" s="16"/>
      <c r="CP101" s="16"/>
      <c r="CQ101" s="16"/>
      <c r="CR101" s="16"/>
      <c r="CS101" s="16"/>
      <c r="CT101" s="16"/>
      <c r="CU101" s="16"/>
      <c r="CV101" s="16"/>
      <c r="CW101" s="16"/>
      <c r="CX101" s="16"/>
      <c r="CY101" s="16"/>
      <c r="CZ101" s="16"/>
      <c r="DA101" s="16"/>
      <c r="DB101" s="16"/>
      <c r="DC101" s="16"/>
      <c r="DD101" s="16"/>
      <c r="DE101" s="16"/>
      <c r="DF101" s="16"/>
      <c r="DG101" s="16"/>
      <c r="DH101" s="16"/>
      <c r="DI101" s="16"/>
      <c r="DJ101" s="16"/>
      <c r="DK101" s="16"/>
      <c r="DL101" s="16"/>
      <c r="DM101" s="16"/>
      <c r="DN101" s="16"/>
      <c r="DO101" s="16"/>
      <c r="DP101" s="16"/>
      <c r="DQ101" s="16"/>
      <c r="DR101" s="16"/>
      <c r="DS101" s="16"/>
    </row>
    <row r="102" spans="1:123" s="8" customFormat="1" ht="38.25" x14ac:dyDescent="0.2">
      <c r="A102" s="1"/>
      <c r="B102" s="1070"/>
      <c r="C102" s="1032"/>
      <c r="D102" s="18" t="s">
        <v>152</v>
      </c>
      <c r="E102" s="481"/>
      <c r="F102" s="752"/>
      <c r="G102" s="19"/>
      <c r="H102" s="483"/>
      <c r="I102" s="744"/>
      <c r="J102" s="19"/>
      <c r="K102" s="167">
        <f>63619+23000</f>
        <v>86619</v>
      </c>
      <c r="L102" s="737" t="s">
        <v>120</v>
      </c>
      <c r="M102" s="19"/>
      <c r="N102" s="19"/>
      <c r="O102" s="19"/>
      <c r="P102" s="19"/>
      <c r="Q102" s="19"/>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c r="CA102" s="16"/>
      <c r="CB102" s="16"/>
      <c r="CC102" s="16"/>
      <c r="CD102" s="16"/>
      <c r="CE102" s="16"/>
      <c r="CF102" s="16"/>
      <c r="CG102" s="16"/>
      <c r="CH102" s="16"/>
      <c r="CI102" s="16"/>
      <c r="CJ102" s="16"/>
      <c r="CK102" s="16"/>
      <c r="CL102" s="16"/>
      <c r="CM102" s="16"/>
      <c r="CN102" s="16"/>
      <c r="CO102" s="16"/>
      <c r="CP102" s="16"/>
      <c r="CQ102" s="16"/>
      <c r="CR102" s="16"/>
      <c r="CS102" s="16"/>
      <c r="CT102" s="16"/>
      <c r="CU102" s="16"/>
      <c r="CV102" s="16"/>
      <c r="CW102" s="16"/>
      <c r="CX102" s="16"/>
      <c r="CY102" s="16"/>
      <c r="CZ102" s="16"/>
      <c r="DA102" s="16"/>
      <c r="DB102" s="16"/>
      <c r="DC102" s="16"/>
      <c r="DD102" s="16"/>
      <c r="DE102" s="16"/>
      <c r="DF102" s="16"/>
      <c r="DG102" s="16"/>
      <c r="DH102" s="16"/>
      <c r="DI102" s="16"/>
      <c r="DJ102" s="16"/>
      <c r="DK102" s="16"/>
      <c r="DL102" s="16"/>
      <c r="DM102" s="16"/>
      <c r="DN102" s="16"/>
      <c r="DO102" s="16"/>
      <c r="DP102" s="16"/>
      <c r="DQ102" s="16"/>
      <c r="DR102" s="16"/>
      <c r="DS102" s="16"/>
    </row>
    <row r="103" spans="1:123" s="8" customFormat="1" ht="38.25" x14ac:dyDescent="0.2">
      <c r="A103" s="1"/>
      <c r="B103" s="1070"/>
      <c r="C103" s="1032"/>
      <c r="D103" s="18" t="s">
        <v>151</v>
      </c>
      <c r="E103" s="481"/>
      <c r="F103" s="752"/>
      <c r="G103" s="19"/>
      <c r="H103" s="483"/>
      <c r="I103" s="744"/>
      <c r="J103" s="19"/>
      <c r="K103" s="167">
        <f>5121+5710</f>
        <v>10831</v>
      </c>
      <c r="L103" s="737" t="s">
        <v>120</v>
      </c>
      <c r="M103" s="19"/>
      <c r="N103" s="19"/>
      <c r="O103" s="19"/>
      <c r="P103" s="19"/>
      <c r="Q103" s="19"/>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BZ103" s="16"/>
      <c r="CA103" s="16"/>
      <c r="CB103" s="16"/>
      <c r="CC103" s="16"/>
      <c r="CD103" s="16"/>
      <c r="CE103" s="16"/>
      <c r="CF103" s="16"/>
      <c r="CG103" s="16"/>
      <c r="CH103" s="16"/>
      <c r="CI103" s="16"/>
      <c r="CJ103" s="16"/>
      <c r="CK103" s="16"/>
      <c r="CL103" s="16"/>
      <c r="CM103" s="16"/>
      <c r="CN103" s="16"/>
      <c r="CO103" s="16"/>
      <c r="CP103" s="16"/>
      <c r="CQ103" s="16"/>
      <c r="CR103" s="16"/>
      <c r="CS103" s="16"/>
      <c r="CT103" s="16"/>
      <c r="CU103" s="16"/>
      <c r="CV103" s="16"/>
      <c r="CW103" s="16"/>
      <c r="CX103" s="16"/>
      <c r="CY103" s="16"/>
      <c r="CZ103" s="16"/>
      <c r="DA103" s="16"/>
      <c r="DB103" s="16"/>
      <c r="DC103" s="16"/>
      <c r="DD103" s="16"/>
      <c r="DE103" s="16"/>
      <c r="DF103" s="16"/>
      <c r="DG103" s="16"/>
      <c r="DH103" s="16"/>
      <c r="DI103" s="16"/>
      <c r="DJ103" s="16"/>
      <c r="DK103" s="16"/>
      <c r="DL103" s="16"/>
      <c r="DM103" s="16"/>
      <c r="DN103" s="16"/>
      <c r="DO103" s="16"/>
      <c r="DP103" s="16"/>
      <c r="DQ103" s="16"/>
      <c r="DR103" s="16"/>
      <c r="DS103" s="16"/>
    </row>
    <row r="104" spans="1:123" s="8" customFormat="1" ht="38.25" x14ac:dyDescent="0.2">
      <c r="A104" s="1"/>
      <c r="B104" s="1070"/>
      <c r="C104" s="1032"/>
      <c r="D104" s="18" t="s">
        <v>153</v>
      </c>
      <c r="E104" s="481"/>
      <c r="F104" s="752"/>
      <c r="G104" s="19"/>
      <c r="H104" s="483"/>
      <c r="I104" s="744"/>
      <c r="J104" s="19"/>
      <c r="K104" s="167">
        <f>6457</f>
        <v>6457</v>
      </c>
      <c r="L104" s="737" t="s">
        <v>120</v>
      </c>
      <c r="M104" s="19"/>
      <c r="N104" s="19"/>
      <c r="O104" s="19"/>
      <c r="P104" s="19"/>
      <c r="Q104" s="19"/>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c r="CA104" s="16"/>
      <c r="CB104" s="16"/>
      <c r="CC104" s="16"/>
      <c r="CD104" s="16"/>
      <c r="CE104" s="16"/>
      <c r="CF104" s="16"/>
      <c r="CG104" s="16"/>
      <c r="CH104" s="16"/>
      <c r="CI104" s="16"/>
      <c r="CJ104" s="16"/>
      <c r="CK104" s="16"/>
      <c r="CL104" s="16"/>
      <c r="CM104" s="16"/>
      <c r="CN104" s="16"/>
      <c r="CO104" s="16"/>
      <c r="CP104" s="16"/>
      <c r="CQ104" s="16"/>
      <c r="CR104" s="16"/>
      <c r="CS104" s="16"/>
      <c r="CT104" s="16"/>
      <c r="CU104" s="16"/>
      <c r="CV104" s="16"/>
      <c r="CW104" s="16"/>
      <c r="CX104" s="16"/>
      <c r="CY104" s="16"/>
      <c r="CZ104" s="16"/>
      <c r="DA104" s="16"/>
      <c r="DB104" s="16"/>
      <c r="DC104" s="16"/>
      <c r="DD104" s="16"/>
      <c r="DE104" s="16"/>
      <c r="DF104" s="16"/>
      <c r="DG104" s="16"/>
      <c r="DH104" s="16"/>
      <c r="DI104" s="16"/>
      <c r="DJ104" s="16"/>
      <c r="DK104" s="16"/>
      <c r="DL104" s="16"/>
      <c r="DM104" s="16"/>
      <c r="DN104" s="16"/>
      <c r="DO104" s="16"/>
      <c r="DP104" s="16"/>
      <c r="DQ104" s="16"/>
      <c r="DR104" s="16"/>
      <c r="DS104" s="16"/>
    </row>
    <row r="105" spans="1:123" s="8" customFormat="1" ht="38.25" x14ac:dyDescent="0.2">
      <c r="A105" s="1"/>
      <c r="B105" s="1070"/>
      <c r="C105" s="1032"/>
      <c r="D105" s="18" t="s">
        <v>154</v>
      </c>
      <c r="E105" s="481"/>
      <c r="F105" s="752"/>
      <c r="G105" s="19"/>
      <c r="H105" s="483"/>
      <c r="I105" s="744"/>
      <c r="J105" s="19"/>
      <c r="K105" s="167">
        <v>8679</v>
      </c>
      <c r="L105" s="737" t="s">
        <v>120</v>
      </c>
      <c r="M105" s="19"/>
      <c r="N105" s="19"/>
      <c r="O105" s="19"/>
      <c r="P105" s="19"/>
      <c r="Q105" s="19"/>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c r="BT105" s="16"/>
      <c r="BU105" s="16"/>
      <c r="BV105" s="16"/>
      <c r="BW105" s="16"/>
      <c r="BX105" s="16"/>
      <c r="BY105" s="16"/>
      <c r="BZ105" s="16"/>
      <c r="CA105" s="16"/>
      <c r="CB105" s="16"/>
      <c r="CC105" s="16"/>
      <c r="CD105" s="16"/>
      <c r="CE105" s="16"/>
      <c r="CF105" s="16"/>
      <c r="CG105" s="16"/>
      <c r="CH105" s="16"/>
      <c r="CI105" s="16"/>
      <c r="CJ105" s="16"/>
      <c r="CK105" s="16"/>
      <c r="CL105" s="16"/>
      <c r="CM105" s="16"/>
      <c r="CN105" s="16"/>
      <c r="CO105" s="16"/>
      <c r="CP105" s="16"/>
      <c r="CQ105" s="16"/>
      <c r="CR105" s="16"/>
      <c r="CS105" s="16"/>
      <c r="CT105" s="16"/>
      <c r="CU105" s="16"/>
      <c r="CV105" s="16"/>
      <c r="CW105" s="16"/>
      <c r="CX105" s="16"/>
      <c r="CY105" s="16"/>
      <c r="CZ105" s="16"/>
      <c r="DA105" s="16"/>
      <c r="DB105" s="16"/>
      <c r="DC105" s="16"/>
      <c r="DD105" s="16"/>
      <c r="DE105" s="16"/>
      <c r="DF105" s="16"/>
      <c r="DG105" s="16"/>
      <c r="DH105" s="16"/>
      <c r="DI105" s="16"/>
      <c r="DJ105" s="16"/>
      <c r="DK105" s="16"/>
      <c r="DL105" s="16"/>
      <c r="DM105" s="16"/>
      <c r="DN105" s="16"/>
      <c r="DO105" s="16"/>
      <c r="DP105" s="16"/>
      <c r="DQ105" s="16"/>
      <c r="DR105" s="16"/>
      <c r="DS105" s="16"/>
    </row>
    <row r="106" spans="1:123" s="8" customFormat="1" ht="38.25" x14ac:dyDescent="0.2">
      <c r="A106" s="1"/>
      <c r="B106" s="1070"/>
      <c r="C106" s="1032"/>
      <c r="D106" s="18" t="s">
        <v>155</v>
      </c>
      <c r="E106" s="481"/>
      <c r="F106" s="752"/>
      <c r="G106" s="19"/>
      <c r="H106" s="483"/>
      <c r="I106" s="744"/>
      <c r="J106" s="19"/>
      <c r="K106" s="167">
        <v>0</v>
      </c>
      <c r="L106" s="737" t="s">
        <v>120</v>
      </c>
      <c r="M106" s="19"/>
      <c r="N106" s="19"/>
      <c r="O106" s="19"/>
      <c r="P106" s="19"/>
      <c r="Q106" s="19"/>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c r="CA106" s="16"/>
      <c r="CB106" s="16"/>
      <c r="CC106" s="16"/>
      <c r="CD106" s="16"/>
      <c r="CE106" s="16"/>
      <c r="CF106" s="16"/>
      <c r="CG106" s="16"/>
      <c r="CH106" s="16"/>
      <c r="CI106" s="16"/>
      <c r="CJ106" s="16"/>
      <c r="CK106" s="16"/>
      <c r="CL106" s="16"/>
      <c r="CM106" s="16"/>
      <c r="CN106" s="16"/>
      <c r="CO106" s="16"/>
      <c r="CP106" s="16"/>
      <c r="CQ106" s="16"/>
      <c r="CR106" s="16"/>
      <c r="CS106" s="16"/>
      <c r="CT106" s="16"/>
      <c r="CU106" s="16"/>
      <c r="CV106" s="16"/>
      <c r="CW106" s="16"/>
      <c r="CX106" s="16"/>
      <c r="CY106" s="16"/>
      <c r="CZ106" s="16"/>
      <c r="DA106" s="16"/>
      <c r="DB106" s="16"/>
      <c r="DC106" s="16"/>
      <c r="DD106" s="16"/>
      <c r="DE106" s="16"/>
      <c r="DF106" s="16"/>
      <c r="DG106" s="16"/>
      <c r="DH106" s="16"/>
      <c r="DI106" s="16"/>
      <c r="DJ106" s="16"/>
      <c r="DK106" s="16"/>
      <c r="DL106" s="16"/>
      <c r="DM106" s="16"/>
      <c r="DN106" s="16"/>
      <c r="DO106" s="16"/>
      <c r="DP106" s="16"/>
      <c r="DQ106" s="16"/>
      <c r="DR106" s="16"/>
      <c r="DS106" s="16"/>
    </row>
    <row r="107" spans="1:123" s="8" customFormat="1" ht="38.25" x14ac:dyDescent="0.2">
      <c r="A107" s="1"/>
      <c r="B107" s="1070"/>
      <c r="C107" s="1032"/>
      <c r="D107" s="18" t="s">
        <v>156</v>
      </c>
      <c r="E107" s="481"/>
      <c r="F107" s="752"/>
      <c r="G107" s="19"/>
      <c r="H107" s="483"/>
      <c r="I107" s="744"/>
      <c r="J107" s="19"/>
      <c r="K107" s="167">
        <f>81305+12800</f>
        <v>94105</v>
      </c>
      <c r="L107" s="737" t="s">
        <v>120</v>
      </c>
      <c r="M107" s="19"/>
      <c r="N107" s="19"/>
      <c r="O107" s="19"/>
      <c r="P107" s="19"/>
      <c r="Q107" s="19"/>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c r="BA107" s="16"/>
      <c r="BB107" s="16"/>
      <c r="BC107" s="16"/>
      <c r="BD107" s="16"/>
      <c r="BE107" s="16"/>
      <c r="BF107" s="16"/>
      <c r="BG107" s="16"/>
      <c r="BH107" s="16"/>
      <c r="BI107" s="16"/>
      <c r="BJ107" s="16"/>
      <c r="BK107" s="16"/>
      <c r="BL107" s="16"/>
      <c r="BM107" s="16"/>
      <c r="BN107" s="16"/>
      <c r="BO107" s="16"/>
      <c r="BP107" s="16"/>
      <c r="BQ107" s="16"/>
      <c r="BR107" s="16"/>
      <c r="BS107" s="16"/>
      <c r="BT107" s="16"/>
      <c r="BU107" s="16"/>
      <c r="BV107" s="16"/>
      <c r="BW107" s="16"/>
      <c r="BX107" s="16"/>
      <c r="BY107" s="16"/>
      <c r="BZ107" s="16"/>
      <c r="CA107" s="16"/>
      <c r="CB107" s="16"/>
      <c r="CC107" s="16"/>
      <c r="CD107" s="16"/>
      <c r="CE107" s="16"/>
      <c r="CF107" s="16"/>
      <c r="CG107" s="16"/>
      <c r="CH107" s="16"/>
      <c r="CI107" s="16"/>
      <c r="CJ107" s="16"/>
      <c r="CK107" s="16"/>
      <c r="CL107" s="16"/>
      <c r="CM107" s="16"/>
      <c r="CN107" s="16"/>
      <c r="CO107" s="16"/>
      <c r="CP107" s="16"/>
      <c r="CQ107" s="16"/>
      <c r="CR107" s="16"/>
      <c r="CS107" s="16"/>
      <c r="CT107" s="16"/>
      <c r="CU107" s="16"/>
      <c r="CV107" s="16"/>
      <c r="CW107" s="16"/>
      <c r="CX107" s="16"/>
      <c r="CY107" s="16"/>
      <c r="CZ107" s="16"/>
      <c r="DA107" s="16"/>
      <c r="DB107" s="16"/>
      <c r="DC107" s="16"/>
      <c r="DD107" s="16"/>
      <c r="DE107" s="16"/>
      <c r="DF107" s="16"/>
      <c r="DG107" s="16"/>
      <c r="DH107" s="16"/>
      <c r="DI107" s="16"/>
      <c r="DJ107" s="16"/>
      <c r="DK107" s="16"/>
      <c r="DL107" s="16"/>
      <c r="DM107" s="16"/>
      <c r="DN107" s="16"/>
      <c r="DO107" s="16"/>
      <c r="DP107" s="16"/>
      <c r="DQ107" s="16"/>
      <c r="DR107" s="16"/>
      <c r="DS107" s="16"/>
    </row>
    <row r="108" spans="1:123" s="8" customFormat="1" ht="38.25" x14ac:dyDescent="0.2">
      <c r="A108" s="1"/>
      <c r="B108" s="1070"/>
      <c r="C108" s="1032"/>
      <c r="D108" s="18" t="s">
        <v>161</v>
      </c>
      <c r="E108" s="481"/>
      <c r="F108" s="752"/>
      <c r="G108" s="19"/>
      <c r="H108" s="483"/>
      <c r="I108" s="744"/>
      <c r="J108" s="19"/>
      <c r="K108" s="167">
        <v>14310.54</v>
      </c>
      <c r="L108" s="737" t="s">
        <v>120</v>
      </c>
      <c r="M108" s="19"/>
      <c r="N108" s="19"/>
      <c r="O108" s="19"/>
      <c r="P108" s="19"/>
      <c r="Q108" s="19"/>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c r="AY108" s="16"/>
      <c r="AZ108" s="16"/>
      <c r="BA108" s="16"/>
      <c r="BB108" s="16"/>
      <c r="BC108" s="16"/>
      <c r="BD108" s="16"/>
      <c r="BE108" s="16"/>
      <c r="BF108" s="16"/>
      <c r="BG108" s="16"/>
      <c r="BH108" s="16"/>
      <c r="BI108" s="16"/>
      <c r="BJ108" s="16"/>
      <c r="BK108" s="16"/>
      <c r="BL108" s="16"/>
      <c r="BM108" s="16"/>
      <c r="BN108" s="16"/>
      <c r="BO108" s="16"/>
      <c r="BP108" s="16"/>
      <c r="BQ108" s="16"/>
      <c r="BR108" s="16"/>
      <c r="BS108" s="16"/>
      <c r="BT108" s="16"/>
      <c r="BU108" s="16"/>
      <c r="BV108" s="16"/>
      <c r="BW108" s="16"/>
      <c r="BX108" s="16"/>
      <c r="BY108" s="16"/>
      <c r="BZ108" s="16"/>
      <c r="CA108" s="16"/>
      <c r="CB108" s="16"/>
      <c r="CC108" s="16"/>
      <c r="CD108" s="16"/>
      <c r="CE108" s="16"/>
      <c r="CF108" s="16"/>
      <c r="CG108" s="16"/>
      <c r="CH108" s="16"/>
      <c r="CI108" s="16"/>
      <c r="CJ108" s="16"/>
      <c r="CK108" s="16"/>
      <c r="CL108" s="16"/>
      <c r="CM108" s="16"/>
      <c r="CN108" s="16"/>
      <c r="CO108" s="16"/>
      <c r="CP108" s="16"/>
      <c r="CQ108" s="16"/>
      <c r="CR108" s="16"/>
      <c r="CS108" s="16"/>
      <c r="CT108" s="16"/>
      <c r="CU108" s="16"/>
      <c r="CV108" s="16"/>
      <c r="CW108" s="16"/>
      <c r="CX108" s="16"/>
      <c r="CY108" s="16"/>
      <c r="CZ108" s="16"/>
      <c r="DA108" s="16"/>
      <c r="DB108" s="16"/>
      <c r="DC108" s="16"/>
      <c r="DD108" s="16"/>
      <c r="DE108" s="16"/>
      <c r="DF108" s="16"/>
      <c r="DG108" s="16"/>
      <c r="DH108" s="16"/>
      <c r="DI108" s="16"/>
      <c r="DJ108" s="16"/>
      <c r="DK108" s="16"/>
      <c r="DL108" s="16"/>
      <c r="DM108" s="16"/>
      <c r="DN108" s="16"/>
      <c r="DO108" s="16"/>
      <c r="DP108" s="16"/>
      <c r="DQ108" s="16"/>
      <c r="DR108" s="16"/>
      <c r="DS108" s="16"/>
    </row>
    <row r="109" spans="1:123" s="8" customFormat="1" ht="38.25" x14ac:dyDescent="0.2">
      <c r="A109" s="1"/>
      <c r="B109" s="1070"/>
      <c r="C109" s="1032"/>
      <c r="D109" s="18" t="s">
        <v>157</v>
      </c>
      <c r="E109" s="481"/>
      <c r="F109" s="752"/>
      <c r="G109" s="19"/>
      <c r="H109" s="483"/>
      <c r="I109" s="744"/>
      <c r="J109" s="19"/>
      <c r="K109" s="167">
        <f>32507+68243</f>
        <v>100750</v>
      </c>
      <c r="L109" s="737" t="s">
        <v>120</v>
      </c>
      <c r="M109" s="19"/>
      <c r="N109" s="19"/>
      <c r="O109" s="19"/>
      <c r="P109" s="19"/>
      <c r="Q109" s="19"/>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c r="BM109" s="16"/>
      <c r="BN109" s="16"/>
      <c r="BO109" s="16"/>
      <c r="BP109" s="16"/>
      <c r="BQ109" s="16"/>
      <c r="BR109" s="16"/>
      <c r="BS109" s="16"/>
      <c r="BT109" s="16"/>
      <c r="BU109" s="16"/>
      <c r="BV109" s="16"/>
      <c r="BW109" s="16"/>
      <c r="BX109" s="16"/>
      <c r="BY109" s="16"/>
      <c r="BZ109" s="16"/>
      <c r="CA109" s="16"/>
      <c r="CB109" s="16"/>
      <c r="CC109" s="16"/>
      <c r="CD109" s="16"/>
      <c r="CE109" s="16"/>
      <c r="CF109" s="16"/>
      <c r="CG109" s="16"/>
      <c r="CH109" s="16"/>
      <c r="CI109" s="16"/>
      <c r="CJ109" s="16"/>
      <c r="CK109" s="16"/>
      <c r="CL109" s="16"/>
      <c r="CM109" s="16"/>
      <c r="CN109" s="16"/>
      <c r="CO109" s="16"/>
      <c r="CP109" s="16"/>
      <c r="CQ109" s="16"/>
      <c r="CR109" s="16"/>
      <c r="CS109" s="16"/>
      <c r="CT109" s="16"/>
      <c r="CU109" s="16"/>
      <c r="CV109" s="16"/>
      <c r="CW109" s="16"/>
      <c r="CX109" s="16"/>
      <c r="CY109" s="16"/>
      <c r="CZ109" s="16"/>
      <c r="DA109" s="16"/>
      <c r="DB109" s="16"/>
      <c r="DC109" s="16"/>
      <c r="DD109" s="16"/>
      <c r="DE109" s="16"/>
      <c r="DF109" s="16"/>
      <c r="DG109" s="16"/>
      <c r="DH109" s="16"/>
      <c r="DI109" s="16"/>
      <c r="DJ109" s="16"/>
      <c r="DK109" s="16"/>
      <c r="DL109" s="16"/>
      <c r="DM109" s="16"/>
      <c r="DN109" s="16"/>
      <c r="DO109" s="16"/>
      <c r="DP109" s="16"/>
      <c r="DQ109" s="16"/>
      <c r="DR109" s="16"/>
      <c r="DS109" s="16"/>
    </row>
    <row r="110" spans="1:123" s="8" customFormat="1" ht="38.25" x14ac:dyDescent="0.2">
      <c r="A110" s="1"/>
      <c r="B110" s="1070"/>
      <c r="C110" s="1032"/>
      <c r="D110" s="18" t="s">
        <v>158</v>
      </c>
      <c r="E110" s="481"/>
      <c r="F110" s="752"/>
      <c r="G110" s="19"/>
      <c r="H110" s="483"/>
      <c r="I110" s="744"/>
      <c r="J110" s="19"/>
      <c r="K110" s="167">
        <f>287470+37482.8</f>
        <v>324952.8</v>
      </c>
      <c r="L110" s="737" t="s">
        <v>120</v>
      </c>
      <c r="M110" s="19"/>
      <c r="N110" s="19"/>
      <c r="O110" s="19"/>
      <c r="P110" s="19"/>
      <c r="Q110" s="19"/>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c r="BN110" s="16"/>
      <c r="BO110" s="16"/>
      <c r="BP110" s="16"/>
      <c r="BQ110" s="16"/>
      <c r="BR110" s="16"/>
      <c r="BS110" s="16"/>
      <c r="BT110" s="16"/>
      <c r="BU110" s="16"/>
      <c r="BV110" s="16"/>
      <c r="BW110" s="16"/>
      <c r="BX110" s="16"/>
      <c r="BY110" s="16"/>
      <c r="BZ110" s="16"/>
      <c r="CA110" s="16"/>
      <c r="CB110" s="16"/>
      <c r="CC110" s="16"/>
      <c r="CD110" s="16"/>
      <c r="CE110" s="16"/>
      <c r="CF110" s="16"/>
      <c r="CG110" s="16"/>
      <c r="CH110" s="16"/>
      <c r="CI110" s="16"/>
      <c r="CJ110" s="16"/>
      <c r="CK110" s="16"/>
      <c r="CL110" s="16"/>
      <c r="CM110" s="16"/>
      <c r="CN110" s="16"/>
      <c r="CO110" s="16"/>
      <c r="CP110" s="16"/>
      <c r="CQ110" s="16"/>
      <c r="CR110" s="16"/>
      <c r="CS110" s="16"/>
      <c r="CT110" s="16"/>
      <c r="CU110" s="16"/>
      <c r="CV110" s="16"/>
      <c r="CW110" s="16"/>
      <c r="CX110" s="16"/>
      <c r="CY110" s="16"/>
      <c r="CZ110" s="16"/>
      <c r="DA110" s="16"/>
      <c r="DB110" s="16"/>
      <c r="DC110" s="16"/>
      <c r="DD110" s="16"/>
      <c r="DE110" s="16"/>
      <c r="DF110" s="16"/>
      <c r="DG110" s="16"/>
      <c r="DH110" s="16"/>
      <c r="DI110" s="16"/>
      <c r="DJ110" s="16"/>
      <c r="DK110" s="16"/>
      <c r="DL110" s="16"/>
      <c r="DM110" s="16"/>
      <c r="DN110" s="16"/>
      <c r="DO110" s="16"/>
      <c r="DP110" s="16"/>
      <c r="DQ110" s="16"/>
      <c r="DR110" s="16"/>
      <c r="DS110" s="16"/>
    </row>
    <row r="111" spans="1:123" s="8" customFormat="1" ht="38.25" x14ac:dyDescent="0.2">
      <c r="A111" s="1"/>
      <c r="B111" s="1070"/>
      <c r="C111" s="1032"/>
      <c r="D111" s="18" t="s">
        <v>165</v>
      </c>
      <c r="E111" s="481"/>
      <c r="F111" s="752"/>
      <c r="G111" s="19"/>
      <c r="H111" s="483"/>
      <c r="I111" s="744"/>
      <c r="J111" s="19"/>
      <c r="K111" s="167">
        <v>60400</v>
      </c>
      <c r="L111" s="737" t="s">
        <v>120</v>
      </c>
      <c r="M111" s="19"/>
      <c r="N111" s="19"/>
      <c r="O111" s="19"/>
      <c r="P111" s="19"/>
      <c r="Q111" s="19"/>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c r="BX111" s="16"/>
      <c r="BY111" s="16"/>
      <c r="BZ111" s="16"/>
      <c r="CA111" s="16"/>
      <c r="CB111" s="16"/>
      <c r="CC111" s="16"/>
      <c r="CD111" s="16"/>
      <c r="CE111" s="16"/>
      <c r="CF111" s="16"/>
      <c r="CG111" s="16"/>
      <c r="CH111" s="16"/>
      <c r="CI111" s="16"/>
      <c r="CJ111" s="16"/>
      <c r="CK111" s="16"/>
      <c r="CL111" s="16"/>
      <c r="CM111" s="16"/>
      <c r="CN111" s="16"/>
      <c r="CO111" s="16"/>
      <c r="CP111" s="16"/>
      <c r="CQ111" s="16"/>
      <c r="CR111" s="16"/>
      <c r="CS111" s="16"/>
      <c r="CT111" s="16"/>
      <c r="CU111" s="16"/>
      <c r="CV111" s="16"/>
      <c r="CW111" s="16"/>
      <c r="CX111" s="16"/>
      <c r="CY111" s="16"/>
      <c r="CZ111" s="16"/>
      <c r="DA111" s="16"/>
      <c r="DB111" s="16"/>
      <c r="DC111" s="16"/>
      <c r="DD111" s="16"/>
      <c r="DE111" s="16"/>
      <c r="DF111" s="16"/>
      <c r="DG111" s="16"/>
      <c r="DH111" s="16"/>
      <c r="DI111" s="16"/>
      <c r="DJ111" s="16"/>
      <c r="DK111" s="16"/>
      <c r="DL111" s="16"/>
      <c r="DM111" s="16"/>
      <c r="DN111" s="16"/>
      <c r="DO111" s="16"/>
      <c r="DP111" s="16"/>
      <c r="DQ111" s="16"/>
      <c r="DR111" s="16"/>
      <c r="DS111" s="16"/>
    </row>
    <row r="112" spans="1:123" s="8" customFormat="1" ht="39" thickBot="1" x14ac:dyDescent="0.25">
      <c r="A112" s="1"/>
      <c r="B112" s="1070"/>
      <c r="C112" s="1038"/>
      <c r="D112" s="756" t="s">
        <v>163</v>
      </c>
      <c r="E112" s="753"/>
      <c r="F112" s="754"/>
      <c r="G112" s="19"/>
      <c r="H112" s="758"/>
      <c r="I112" s="746"/>
      <c r="J112" s="19"/>
      <c r="K112" s="763">
        <f>116841+22000</f>
        <v>138841</v>
      </c>
      <c r="L112" s="739" t="s">
        <v>120</v>
      </c>
      <c r="M112" s="19"/>
      <c r="N112" s="19"/>
      <c r="O112" s="19"/>
      <c r="P112" s="19"/>
      <c r="Q112" s="19"/>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c r="CA112" s="16"/>
      <c r="CB112" s="16"/>
      <c r="CC112" s="16"/>
      <c r="CD112" s="16"/>
      <c r="CE112" s="16"/>
      <c r="CF112" s="16"/>
      <c r="CG112" s="16"/>
      <c r="CH112" s="16"/>
      <c r="CI112" s="16"/>
      <c r="CJ112" s="16"/>
      <c r="CK112" s="16"/>
      <c r="CL112" s="16"/>
      <c r="CM112" s="16"/>
      <c r="CN112" s="16"/>
      <c r="CO112" s="16"/>
      <c r="CP112" s="16"/>
      <c r="CQ112" s="16"/>
      <c r="CR112" s="16"/>
      <c r="CS112" s="16"/>
      <c r="CT112" s="16"/>
      <c r="CU112" s="16"/>
      <c r="CV112" s="16"/>
      <c r="CW112" s="16"/>
      <c r="CX112" s="16"/>
      <c r="CY112" s="16"/>
      <c r="CZ112" s="16"/>
      <c r="DA112" s="16"/>
      <c r="DB112" s="16"/>
      <c r="DC112" s="16"/>
      <c r="DD112" s="16"/>
      <c r="DE112" s="16"/>
      <c r="DF112" s="16"/>
      <c r="DG112" s="16"/>
      <c r="DH112" s="16"/>
      <c r="DI112" s="16"/>
      <c r="DJ112" s="16"/>
      <c r="DK112" s="16"/>
      <c r="DL112" s="16"/>
      <c r="DM112" s="16"/>
      <c r="DN112" s="16"/>
      <c r="DO112" s="16"/>
      <c r="DP112" s="16"/>
      <c r="DQ112" s="16"/>
      <c r="DR112" s="16"/>
      <c r="DS112" s="16"/>
    </row>
    <row r="113" spans="1:123" s="8" customFormat="1" ht="39.75" customHeight="1" thickBot="1" x14ac:dyDescent="0.25">
      <c r="A113" s="1"/>
      <c r="B113" s="1070"/>
      <c r="C113" s="1035" t="s">
        <v>136</v>
      </c>
      <c r="D113" s="1036"/>
      <c r="E113" s="749"/>
      <c r="F113" s="749"/>
      <c r="G113" s="19"/>
      <c r="H113" s="771"/>
      <c r="I113" s="772"/>
      <c r="J113" s="19"/>
      <c r="K113" s="775">
        <v>529.5</v>
      </c>
      <c r="L113" s="767" t="s">
        <v>137</v>
      </c>
      <c r="M113" s="19"/>
      <c r="N113" s="19"/>
      <c r="O113" s="19"/>
      <c r="P113" s="19"/>
      <c r="Q113" s="19"/>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c r="BT113" s="16"/>
      <c r="BU113" s="16"/>
      <c r="BV113" s="16"/>
      <c r="BW113" s="16"/>
      <c r="BX113" s="16"/>
      <c r="BY113" s="16"/>
      <c r="BZ113" s="16"/>
      <c r="CA113" s="16"/>
      <c r="CB113" s="16"/>
      <c r="CC113" s="16"/>
      <c r="CD113" s="16"/>
      <c r="CE113" s="16"/>
      <c r="CF113" s="16"/>
      <c r="CG113" s="16"/>
      <c r="CH113" s="16"/>
      <c r="CI113" s="16"/>
      <c r="CJ113" s="16"/>
      <c r="CK113" s="16"/>
      <c r="CL113" s="16"/>
      <c r="CM113" s="16"/>
      <c r="CN113" s="16"/>
      <c r="CO113" s="16"/>
      <c r="CP113" s="16"/>
      <c r="CQ113" s="16"/>
      <c r="CR113" s="16"/>
      <c r="CS113" s="16"/>
      <c r="CT113" s="16"/>
      <c r="CU113" s="16"/>
      <c r="CV113" s="16"/>
      <c r="CW113" s="16"/>
      <c r="CX113" s="16"/>
      <c r="CY113" s="16"/>
      <c r="CZ113" s="16"/>
      <c r="DA113" s="16"/>
      <c r="DB113" s="16"/>
      <c r="DC113" s="16"/>
      <c r="DD113" s="16"/>
      <c r="DE113" s="16"/>
      <c r="DF113" s="16"/>
      <c r="DG113" s="16"/>
      <c r="DH113" s="16"/>
      <c r="DI113" s="16"/>
      <c r="DJ113" s="16"/>
      <c r="DK113" s="16"/>
      <c r="DL113" s="16"/>
      <c r="DM113" s="16"/>
      <c r="DN113" s="16"/>
      <c r="DO113" s="16"/>
      <c r="DP113" s="16"/>
      <c r="DQ113" s="16"/>
      <c r="DR113" s="16"/>
      <c r="DS113" s="16"/>
    </row>
    <row r="114" spans="1:123" s="8" customFormat="1" x14ac:dyDescent="0.2">
      <c r="A114" s="1"/>
      <c r="B114" s="1070"/>
      <c r="C114" s="1027" t="s">
        <v>28</v>
      </c>
      <c r="D114" s="1028"/>
      <c r="E114" s="80"/>
      <c r="F114" s="80"/>
      <c r="G114" s="19"/>
      <c r="H114" s="773"/>
      <c r="I114" s="774"/>
      <c r="J114" s="19"/>
      <c r="K114" s="773"/>
      <c r="L114" s="774"/>
      <c r="M114" s="19"/>
      <c r="N114" s="19"/>
      <c r="O114" s="19"/>
      <c r="P114" s="19"/>
      <c r="Q114" s="19"/>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c r="BU114" s="16"/>
      <c r="BV114" s="16"/>
      <c r="BW114" s="16"/>
      <c r="BX114" s="16"/>
      <c r="BY114" s="16"/>
      <c r="BZ114" s="16"/>
      <c r="CA114" s="16"/>
      <c r="CB114" s="16"/>
      <c r="CC114" s="16"/>
      <c r="CD114" s="16"/>
      <c r="CE114" s="16"/>
      <c r="CF114" s="16"/>
      <c r="CG114" s="16"/>
      <c r="CH114" s="16"/>
      <c r="CI114" s="16"/>
      <c r="CJ114" s="16"/>
      <c r="CK114" s="16"/>
      <c r="CL114" s="16"/>
      <c r="CM114" s="16"/>
      <c r="CN114" s="16"/>
      <c r="CO114" s="16"/>
      <c r="CP114" s="16"/>
      <c r="CQ114" s="16"/>
      <c r="CR114" s="16"/>
      <c r="CS114" s="16"/>
      <c r="CT114" s="16"/>
      <c r="CU114" s="16"/>
      <c r="CV114" s="16"/>
      <c r="CW114" s="16"/>
      <c r="CX114" s="16"/>
      <c r="CY114" s="16"/>
      <c r="CZ114" s="16"/>
      <c r="DA114" s="16"/>
      <c r="DB114" s="16"/>
      <c r="DC114" s="16"/>
      <c r="DD114" s="16"/>
      <c r="DE114" s="16"/>
      <c r="DF114" s="16"/>
      <c r="DG114" s="16"/>
      <c r="DH114" s="16"/>
      <c r="DI114" s="16"/>
      <c r="DJ114" s="16"/>
      <c r="DK114" s="16"/>
      <c r="DL114" s="16"/>
      <c r="DM114" s="16"/>
      <c r="DN114" s="16"/>
      <c r="DO114" s="16"/>
      <c r="DP114" s="16"/>
      <c r="DQ114" s="16"/>
      <c r="DR114" s="16"/>
      <c r="DS114" s="16"/>
    </row>
    <row r="115" spans="1:123" s="8" customFormat="1" x14ac:dyDescent="0.2">
      <c r="A115" s="1"/>
      <c r="B115" s="1070"/>
      <c r="C115" s="1027" t="s">
        <v>29</v>
      </c>
      <c r="D115" s="1028"/>
      <c r="E115" s="80"/>
      <c r="F115" s="80"/>
      <c r="G115" s="19"/>
      <c r="H115" s="164"/>
      <c r="I115" s="165"/>
      <c r="J115" s="19"/>
      <c r="K115" s="164"/>
      <c r="L115" s="165"/>
      <c r="M115" s="19"/>
      <c r="N115" s="19"/>
      <c r="O115" s="19"/>
      <c r="P115" s="19"/>
      <c r="Q115" s="19"/>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6"/>
      <c r="BC115" s="16"/>
      <c r="BD115" s="16"/>
      <c r="BE115" s="16"/>
      <c r="BF115" s="16"/>
      <c r="BG115" s="16"/>
      <c r="BH115" s="16"/>
      <c r="BI115" s="16"/>
      <c r="BJ115" s="16"/>
      <c r="BK115" s="16"/>
      <c r="BL115" s="16"/>
      <c r="BM115" s="16"/>
      <c r="BN115" s="16"/>
      <c r="BO115" s="16"/>
      <c r="BP115" s="16"/>
      <c r="BQ115" s="16"/>
      <c r="BR115" s="16"/>
      <c r="BS115" s="16"/>
      <c r="BT115" s="16"/>
      <c r="BU115" s="16"/>
      <c r="BV115" s="16"/>
      <c r="BW115" s="16"/>
      <c r="BX115" s="16"/>
      <c r="BY115" s="16"/>
      <c r="BZ115" s="16"/>
      <c r="CA115" s="16"/>
      <c r="CB115" s="16"/>
      <c r="CC115" s="16"/>
      <c r="CD115" s="16"/>
      <c r="CE115" s="16"/>
      <c r="CF115" s="16"/>
      <c r="CG115" s="16"/>
      <c r="CH115" s="16"/>
      <c r="CI115" s="16"/>
      <c r="CJ115" s="16"/>
      <c r="CK115" s="16"/>
      <c r="CL115" s="16"/>
      <c r="CM115" s="16"/>
      <c r="CN115" s="16"/>
      <c r="CO115" s="16"/>
      <c r="CP115" s="16"/>
      <c r="CQ115" s="16"/>
      <c r="CR115" s="16"/>
      <c r="CS115" s="16"/>
      <c r="CT115" s="16"/>
      <c r="CU115" s="16"/>
      <c r="CV115" s="16"/>
      <c r="CW115" s="16"/>
      <c r="CX115" s="16"/>
      <c r="CY115" s="16"/>
      <c r="CZ115" s="16"/>
      <c r="DA115" s="16"/>
      <c r="DB115" s="16"/>
      <c r="DC115" s="16"/>
      <c r="DD115" s="16"/>
      <c r="DE115" s="16"/>
      <c r="DF115" s="16"/>
      <c r="DG115" s="16"/>
      <c r="DH115" s="16"/>
      <c r="DI115" s="16"/>
      <c r="DJ115" s="16"/>
      <c r="DK115" s="16"/>
      <c r="DL115" s="16"/>
      <c r="DM115" s="16"/>
      <c r="DN115" s="16"/>
      <c r="DO115" s="16"/>
      <c r="DP115" s="16"/>
      <c r="DQ115" s="16"/>
      <c r="DR115" s="16"/>
      <c r="DS115" s="16"/>
    </row>
    <row r="116" spans="1:123" s="8" customFormat="1" ht="13.5" thickBot="1" x14ac:dyDescent="0.25">
      <c r="A116" s="1"/>
      <c r="B116" s="1070"/>
      <c r="C116" s="1033" t="s">
        <v>30</v>
      </c>
      <c r="D116" s="1034"/>
      <c r="E116" s="80"/>
      <c r="F116" s="80"/>
      <c r="G116" s="19"/>
      <c r="H116" s="164"/>
      <c r="I116" s="165"/>
      <c r="J116" s="19"/>
      <c r="K116" s="164"/>
      <c r="L116" s="165"/>
      <c r="M116" s="19"/>
      <c r="N116" s="19"/>
      <c r="O116" s="19"/>
      <c r="P116" s="19"/>
      <c r="Q116" s="19"/>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c r="BT116" s="16"/>
      <c r="BU116" s="16"/>
      <c r="BV116" s="16"/>
      <c r="BW116" s="16"/>
      <c r="BX116" s="16"/>
      <c r="BY116" s="16"/>
      <c r="BZ116" s="16"/>
      <c r="CA116" s="16"/>
      <c r="CB116" s="16"/>
      <c r="CC116" s="16"/>
      <c r="CD116" s="16"/>
      <c r="CE116" s="16"/>
      <c r="CF116" s="16"/>
      <c r="CG116" s="16"/>
      <c r="CH116" s="16"/>
      <c r="CI116" s="16"/>
      <c r="CJ116" s="16"/>
      <c r="CK116" s="16"/>
      <c r="CL116" s="16"/>
      <c r="CM116" s="16"/>
      <c r="CN116" s="16"/>
      <c r="CO116" s="16"/>
      <c r="CP116" s="16"/>
      <c r="CQ116" s="16"/>
      <c r="CR116" s="16"/>
      <c r="CS116" s="16"/>
      <c r="CT116" s="16"/>
      <c r="CU116" s="16"/>
      <c r="CV116" s="16"/>
      <c r="CW116" s="16"/>
      <c r="CX116" s="16"/>
      <c r="CY116" s="16"/>
      <c r="CZ116" s="16"/>
      <c r="DA116" s="16"/>
      <c r="DB116" s="16"/>
      <c r="DC116" s="16"/>
      <c r="DD116" s="16"/>
      <c r="DE116" s="16"/>
      <c r="DF116" s="16"/>
      <c r="DG116" s="16"/>
      <c r="DH116" s="16"/>
      <c r="DI116" s="16"/>
      <c r="DJ116" s="16"/>
      <c r="DK116" s="16"/>
      <c r="DL116" s="16"/>
      <c r="DM116" s="16"/>
      <c r="DN116" s="16"/>
      <c r="DO116" s="16"/>
      <c r="DP116" s="16"/>
      <c r="DQ116" s="16"/>
      <c r="DR116" s="16"/>
      <c r="DS116" s="16"/>
    </row>
    <row r="117" spans="1:123" s="7" customFormat="1" ht="13.5" thickBot="1" x14ac:dyDescent="0.25">
      <c r="A117" s="1"/>
      <c r="B117" s="1071"/>
      <c r="C117" s="1083" t="s">
        <v>2</v>
      </c>
      <c r="D117" s="1084"/>
      <c r="E117" s="13"/>
      <c r="F117" s="13"/>
      <c r="G117" s="40"/>
      <c r="H117" s="168"/>
      <c r="I117" s="169"/>
      <c r="J117" s="38"/>
      <c r="K117" s="168"/>
      <c r="L117" s="169"/>
      <c r="M117" s="38"/>
      <c r="N117" s="38"/>
      <c r="O117" s="38"/>
      <c r="P117" s="38"/>
      <c r="Q117" s="38"/>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c r="CA117" s="17"/>
      <c r="CB117" s="17"/>
      <c r="CC117" s="17"/>
      <c r="CD117" s="17"/>
      <c r="CE117" s="17"/>
      <c r="CF117" s="17"/>
      <c r="CG117" s="17"/>
      <c r="CH117" s="17"/>
      <c r="CI117" s="17"/>
      <c r="CJ117" s="17"/>
      <c r="CK117" s="17"/>
      <c r="CL117" s="17"/>
      <c r="CM117" s="17"/>
      <c r="CN117" s="17"/>
      <c r="CO117" s="17"/>
      <c r="CP117" s="17"/>
      <c r="CQ117" s="17"/>
      <c r="CR117" s="17"/>
      <c r="CS117" s="17"/>
      <c r="CT117" s="17"/>
      <c r="CU117" s="17"/>
      <c r="CV117" s="17"/>
      <c r="CW117" s="17"/>
      <c r="CX117" s="17"/>
      <c r="CY117" s="17"/>
      <c r="CZ117" s="17"/>
      <c r="DA117" s="17"/>
      <c r="DB117" s="17"/>
      <c r="DC117" s="17"/>
      <c r="DD117" s="17"/>
      <c r="DE117" s="17"/>
      <c r="DF117" s="17"/>
      <c r="DG117" s="17"/>
      <c r="DH117" s="17"/>
      <c r="DI117" s="17"/>
      <c r="DJ117" s="17"/>
      <c r="DK117" s="17"/>
      <c r="DL117" s="17"/>
      <c r="DM117" s="17"/>
      <c r="DN117" s="17"/>
      <c r="DO117" s="17"/>
      <c r="DP117" s="17"/>
      <c r="DQ117" s="17"/>
      <c r="DR117" s="17"/>
      <c r="DS117" s="17"/>
    </row>
    <row r="118" spans="1:123" x14ac:dyDescent="0.2">
      <c r="G118"/>
    </row>
    <row r="119" spans="1:123" x14ac:dyDescent="0.2">
      <c r="E119" s="19"/>
      <c r="F119" s="19"/>
      <c r="G119"/>
    </row>
    <row r="120" spans="1:123" x14ac:dyDescent="0.2">
      <c r="E120" s="15" t="s">
        <v>9</v>
      </c>
      <c r="F120" s="15"/>
    </row>
    <row r="121" spans="1:123" x14ac:dyDescent="0.2">
      <c r="D121" s="14" t="s">
        <v>7</v>
      </c>
    </row>
    <row r="122" spans="1:123" s="16" customFormat="1" x14ac:dyDescent="0.2">
      <c r="A122" s="19"/>
      <c r="B122" s="19"/>
      <c r="C122" s="19"/>
      <c r="D122" s="19"/>
      <c r="E122" s="19"/>
      <c r="F122" s="19"/>
      <c r="G122" s="19"/>
      <c r="H122" s="19"/>
      <c r="I122" s="19"/>
      <c r="J122" s="19"/>
      <c r="K122" s="19"/>
      <c r="L122" s="19"/>
      <c r="M122" s="19"/>
      <c r="N122" s="19"/>
      <c r="O122" s="19"/>
      <c r="P122" s="19"/>
      <c r="Q122" s="19"/>
    </row>
    <row r="123" spans="1:123" s="16" customFormat="1" x14ac:dyDescent="0.2">
      <c r="A123" s="19"/>
      <c r="B123" s="19"/>
      <c r="C123" s="19"/>
      <c r="D123" s="19"/>
      <c r="E123" s="19"/>
      <c r="F123" s="19"/>
      <c r="G123" s="19"/>
      <c r="H123" s="19"/>
      <c r="I123" s="19"/>
      <c r="J123" s="19"/>
      <c r="K123" s="19"/>
      <c r="L123" s="19"/>
      <c r="M123" s="19"/>
      <c r="N123" s="19"/>
      <c r="O123" s="19"/>
      <c r="P123" s="19"/>
      <c r="Q123" s="19"/>
    </row>
    <row r="124" spans="1:123" s="16" customFormat="1" x14ac:dyDescent="0.2">
      <c r="A124" s="19"/>
      <c r="B124" s="19"/>
      <c r="C124" s="19"/>
      <c r="D124" s="19"/>
      <c r="E124" s="19"/>
      <c r="F124" s="19"/>
      <c r="G124" s="19"/>
      <c r="H124" s="19"/>
      <c r="I124" s="19"/>
      <c r="J124" s="19"/>
      <c r="K124" s="19"/>
      <c r="L124" s="19"/>
      <c r="M124" s="19"/>
      <c r="N124" s="19"/>
      <c r="O124" s="19"/>
      <c r="P124" s="19"/>
      <c r="Q124" s="19"/>
    </row>
    <row r="125" spans="1:123" s="16" customFormat="1" x14ac:dyDescent="0.2">
      <c r="A125" s="19"/>
      <c r="B125" s="19"/>
      <c r="C125" s="19"/>
      <c r="D125" s="19"/>
      <c r="E125" s="19"/>
      <c r="F125" s="19"/>
      <c r="G125" s="19"/>
      <c r="H125" s="19"/>
      <c r="I125" s="19"/>
      <c r="J125" s="19"/>
      <c r="K125" s="19"/>
      <c r="L125" s="19"/>
      <c r="M125" s="19"/>
      <c r="N125" s="19"/>
      <c r="O125" s="19"/>
      <c r="P125" s="19"/>
      <c r="Q125" s="19"/>
    </row>
    <row r="126" spans="1:123" s="16" customFormat="1" x14ac:dyDescent="0.2">
      <c r="A126" s="19"/>
      <c r="B126" s="19"/>
      <c r="C126" s="19"/>
      <c r="D126" s="19"/>
      <c r="E126" s="19"/>
      <c r="F126" s="19"/>
      <c r="G126" s="19"/>
      <c r="H126" s="19"/>
      <c r="I126" s="19"/>
      <c r="J126" s="19"/>
      <c r="K126" s="19"/>
      <c r="L126" s="19"/>
      <c r="M126" s="19"/>
      <c r="N126" s="19"/>
      <c r="O126" s="19"/>
      <c r="P126" s="19"/>
      <c r="Q126" s="19"/>
    </row>
    <row r="127" spans="1:123" s="16" customFormat="1" x14ac:dyDescent="0.2">
      <c r="A127" s="19"/>
      <c r="B127" s="19"/>
      <c r="C127" s="19"/>
      <c r="D127" s="19"/>
      <c r="E127" s="19"/>
      <c r="F127" s="19"/>
      <c r="G127" s="19"/>
      <c r="H127" s="19"/>
      <c r="I127" s="19"/>
      <c r="J127" s="19"/>
      <c r="K127" s="19"/>
      <c r="L127" s="19"/>
      <c r="M127" s="19"/>
      <c r="N127" s="19"/>
      <c r="O127" s="19"/>
      <c r="P127" s="19"/>
      <c r="Q127" s="19"/>
    </row>
    <row r="128" spans="1:123" s="16" customFormat="1" x14ac:dyDescent="0.2">
      <c r="A128" s="19"/>
      <c r="B128" s="19"/>
      <c r="C128" s="19"/>
      <c r="D128" s="19"/>
      <c r="E128" s="19"/>
      <c r="F128" s="19"/>
      <c r="G128" s="19"/>
      <c r="H128" s="19"/>
      <c r="I128" s="19"/>
      <c r="J128" s="19"/>
      <c r="K128" s="19"/>
      <c r="L128" s="19"/>
      <c r="M128" s="19"/>
      <c r="N128" s="19"/>
      <c r="O128" s="19"/>
      <c r="P128" s="19"/>
      <c r="Q128" s="19"/>
    </row>
    <row r="129" spans="1:17" s="16" customFormat="1" x14ac:dyDescent="0.2">
      <c r="A129" s="19"/>
      <c r="B129" s="19"/>
      <c r="C129" s="19"/>
      <c r="D129" s="19"/>
      <c r="E129" s="19"/>
      <c r="F129" s="19"/>
      <c r="G129" s="19"/>
      <c r="H129" s="19"/>
      <c r="I129" s="19"/>
      <c r="J129" s="19"/>
      <c r="K129" s="19"/>
      <c r="L129" s="19"/>
      <c r="M129" s="19"/>
      <c r="N129" s="19"/>
      <c r="O129" s="19"/>
      <c r="P129" s="19"/>
      <c r="Q129" s="19"/>
    </row>
    <row r="130" spans="1:17" s="16" customFormat="1" x14ac:dyDescent="0.2">
      <c r="A130" s="19"/>
      <c r="B130" s="19"/>
      <c r="C130" s="19"/>
      <c r="D130" s="19"/>
      <c r="E130" s="19"/>
      <c r="F130" s="19"/>
      <c r="G130" s="19"/>
      <c r="H130" s="19"/>
      <c r="I130" s="19"/>
      <c r="J130" s="19"/>
      <c r="K130" s="19"/>
      <c r="L130" s="19"/>
      <c r="M130" s="19"/>
      <c r="N130" s="19"/>
      <c r="O130" s="19"/>
      <c r="P130" s="19"/>
      <c r="Q130" s="19"/>
    </row>
    <row r="131" spans="1:17" s="16" customFormat="1" x14ac:dyDescent="0.2">
      <c r="A131" s="19"/>
      <c r="B131" s="19"/>
      <c r="C131" s="19"/>
      <c r="D131" s="19"/>
      <c r="E131" s="19"/>
      <c r="F131" s="19"/>
      <c r="G131" s="19"/>
      <c r="H131" s="19"/>
      <c r="I131" s="19"/>
      <c r="J131" s="19"/>
      <c r="K131" s="19"/>
      <c r="L131" s="19"/>
      <c r="M131" s="19"/>
      <c r="N131" s="19"/>
      <c r="O131" s="19"/>
      <c r="P131" s="19"/>
      <c r="Q131" s="19"/>
    </row>
    <row r="132" spans="1:17" s="16" customFormat="1" x14ac:dyDescent="0.2">
      <c r="A132" s="19"/>
      <c r="B132" s="19"/>
      <c r="C132" s="19"/>
      <c r="D132" s="19"/>
      <c r="E132" s="19"/>
      <c r="F132" s="19"/>
      <c r="G132" s="19"/>
      <c r="H132" s="19"/>
      <c r="I132" s="19"/>
      <c r="J132" s="19"/>
      <c r="K132" s="19"/>
      <c r="L132" s="19"/>
      <c r="M132" s="19"/>
      <c r="N132" s="19"/>
      <c r="O132" s="19"/>
      <c r="P132" s="19"/>
      <c r="Q132" s="19"/>
    </row>
    <row r="133" spans="1:17" s="16" customFormat="1" x14ac:dyDescent="0.2">
      <c r="A133" s="19"/>
      <c r="B133" s="19"/>
      <c r="C133" s="19"/>
      <c r="D133" s="19"/>
      <c r="E133" s="19"/>
      <c r="F133" s="19"/>
      <c r="G133" s="19"/>
      <c r="H133" s="19"/>
      <c r="I133" s="19"/>
      <c r="J133" s="19"/>
      <c r="K133" s="19"/>
      <c r="L133" s="19"/>
      <c r="M133" s="19"/>
      <c r="N133" s="19"/>
      <c r="O133" s="19"/>
      <c r="P133" s="19"/>
      <c r="Q133" s="19"/>
    </row>
    <row r="134" spans="1:17" s="16" customFormat="1" x14ac:dyDescent="0.2">
      <c r="A134" s="19"/>
      <c r="B134" s="19"/>
      <c r="C134" s="19"/>
      <c r="D134" s="19"/>
      <c r="E134" s="19"/>
      <c r="F134" s="19"/>
      <c r="G134" s="19"/>
      <c r="H134" s="19"/>
      <c r="I134" s="19"/>
      <c r="J134" s="19"/>
      <c r="K134" s="19"/>
      <c r="L134" s="19"/>
      <c r="M134" s="19"/>
      <c r="N134" s="19"/>
      <c r="O134" s="19"/>
      <c r="P134" s="19"/>
      <c r="Q134" s="19"/>
    </row>
    <row r="135" spans="1:17" s="16" customFormat="1" x14ac:dyDescent="0.2">
      <c r="A135" s="19"/>
      <c r="B135" s="19"/>
      <c r="C135" s="19"/>
      <c r="D135" s="19"/>
      <c r="E135" s="19"/>
      <c r="F135" s="19"/>
      <c r="G135" s="19"/>
      <c r="H135" s="19"/>
      <c r="I135" s="19"/>
      <c r="J135" s="19"/>
      <c r="K135" s="19"/>
      <c r="L135" s="19"/>
      <c r="M135" s="19"/>
      <c r="N135" s="19"/>
      <c r="O135" s="19"/>
      <c r="P135" s="19"/>
      <c r="Q135" s="19"/>
    </row>
    <row r="136" spans="1:17" s="16" customFormat="1" x14ac:dyDescent="0.2">
      <c r="A136" s="19"/>
      <c r="B136" s="19"/>
      <c r="C136" s="19"/>
      <c r="D136" s="19"/>
      <c r="E136" s="19"/>
      <c r="F136" s="19"/>
      <c r="G136" s="19"/>
      <c r="H136" s="19"/>
      <c r="I136" s="19"/>
      <c r="J136" s="19"/>
      <c r="K136" s="19"/>
      <c r="L136" s="19"/>
      <c r="M136" s="19"/>
      <c r="N136" s="19"/>
      <c r="O136" s="19"/>
      <c r="P136" s="19"/>
      <c r="Q136" s="19"/>
    </row>
    <row r="137" spans="1:17" s="16" customFormat="1" x14ac:dyDescent="0.2">
      <c r="A137" s="19"/>
      <c r="B137" s="19"/>
      <c r="C137" s="19"/>
      <c r="D137" s="19"/>
      <c r="E137" s="19"/>
      <c r="F137" s="19"/>
      <c r="G137" s="19"/>
      <c r="H137" s="19"/>
      <c r="I137" s="19"/>
      <c r="J137" s="19"/>
      <c r="K137" s="19"/>
      <c r="L137" s="19"/>
      <c r="M137" s="19"/>
      <c r="N137" s="19"/>
      <c r="O137" s="19"/>
      <c r="P137" s="19"/>
      <c r="Q137" s="19"/>
    </row>
    <row r="138" spans="1:17" s="16" customFormat="1" x14ac:dyDescent="0.2">
      <c r="A138" s="19"/>
      <c r="B138" s="19"/>
      <c r="C138" s="19"/>
      <c r="D138" s="19"/>
      <c r="E138" s="19"/>
      <c r="F138" s="19"/>
      <c r="G138" s="19"/>
      <c r="H138" s="19"/>
      <c r="I138" s="19"/>
      <c r="J138" s="19"/>
      <c r="K138" s="19"/>
      <c r="L138" s="19"/>
      <c r="M138" s="19"/>
      <c r="N138" s="19"/>
      <c r="O138" s="19"/>
      <c r="P138" s="19"/>
      <c r="Q138" s="19"/>
    </row>
    <row r="139" spans="1:17" s="16" customFormat="1" x14ac:dyDescent="0.2">
      <c r="A139" s="19"/>
      <c r="B139" s="19"/>
      <c r="C139" s="19"/>
      <c r="D139" s="19"/>
      <c r="E139" s="19"/>
      <c r="F139" s="19"/>
      <c r="G139" s="19"/>
      <c r="H139" s="19"/>
      <c r="I139" s="19"/>
      <c r="J139" s="19"/>
      <c r="K139" s="19"/>
      <c r="L139" s="19"/>
      <c r="M139" s="19"/>
      <c r="N139" s="19"/>
      <c r="O139" s="19"/>
      <c r="P139" s="19"/>
      <c r="Q139" s="19"/>
    </row>
    <row r="140" spans="1:17" s="16" customFormat="1" x14ac:dyDescent="0.2">
      <c r="A140" s="19"/>
      <c r="B140" s="19"/>
      <c r="C140" s="19"/>
      <c r="D140" s="19"/>
      <c r="E140" s="19"/>
      <c r="F140" s="19"/>
      <c r="G140" s="19"/>
      <c r="H140" s="19"/>
      <c r="I140" s="19"/>
      <c r="J140" s="19"/>
      <c r="K140" s="19"/>
      <c r="L140" s="19"/>
      <c r="M140" s="19"/>
      <c r="N140" s="19"/>
      <c r="O140" s="19"/>
      <c r="P140" s="19"/>
      <c r="Q140" s="19"/>
    </row>
    <row r="141" spans="1:17" s="16" customFormat="1" x14ac:dyDescent="0.2">
      <c r="A141" s="19"/>
      <c r="B141" s="19"/>
      <c r="C141" s="19"/>
      <c r="D141" s="19"/>
      <c r="E141" s="19"/>
      <c r="F141" s="19"/>
      <c r="G141" s="19"/>
      <c r="H141" s="19"/>
      <c r="I141" s="19"/>
      <c r="J141" s="19"/>
      <c r="K141" s="19"/>
      <c r="L141" s="19"/>
      <c r="M141" s="19"/>
      <c r="N141" s="19"/>
      <c r="O141" s="19"/>
      <c r="P141" s="19"/>
      <c r="Q141" s="19"/>
    </row>
    <row r="142" spans="1:17" s="16" customFormat="1" x14ac:dyDescent="0.2">
      <c r="A142" s="19"/>
      <c r="B142" s="19"/>
      <c r="C142" s="19"/>
      <c r="D142" s="19"/>
      <c r="E142" s="19"/>
      <c r="F142" s="19"/>
      <c r="G142" s="19"/>
      <c r="H142" s="19"/>
      <c r="I142" s="19"/>
      <c r="J142" s="19"/>
      <c r="K142" s="19"/>
      <c r="L142" s="19"/>
      <c r="M142" s="19"/>
      <c r="N142" s="19"/>
      <c r="O142" s="19"/>
      <c r="P142" s="19"/>
      <c r="Q142" s="19"/>
    </row>
    <row r="143" spans="1:17" s="16" customFormat="1" x14ac:dyDescent="0.2">
      <c r="A143" s="19"/>
      <c r="B143" s="19"/>
      <c r="C143" s="19"/>
      <c r="D143" s="19"/>
      <c r="E143" s="19"/>
      <c r="F143" s="19"/>
      <c r="G143" s="19"/>
      <c r="H143" s="19"/>
      <c r="I143" s="19"/>
      <c r="J143" s="19"/>
      <c r="K143" s="19"/>
      <c r="L143" s="19"/>
      <c r="M143" s="19"/>
      <c r="N143" s="19"/>
      <c r="O143" s="19"/>
      <c r="P143" s="19"/>
      <c r="Q143" s="19"/>
    </row>
    <row r="144" spans="1:17" s="16" customFormat="1" x14ac:dyDescent="0.2">
      <c r="A144" s="19"/>
      <c r="B144" s="19"/>
      <c r="C144" s="19"/>
      <c r="D144" s="19"/>
      <c r="E144" s="19"/>
      <c r="F144" s="19"/>
      <c r="G144" s="19"/>
      <c r="H144" s="19"/>
      <c r="I144" s="19"/>
      <c r="J144" s="19"/>
      <c r="K144" s="19"/>
      <c r="L144" s="19"/>
      <c r="M144" s="19"/>
      <c r="N144" s="19"/>
      <c r="O144" s="19"/>
      <c r="P144" s="19"/>
      <c r="Q144" s="19"/>
    </row>
    <row r="145" spans="1:17" s="16" customFormat="1" x14ac:dyDescent="0.2">
      <c r="A145" s="19"/>
      <c r="B145" s="19"/>
      <c r="C145" s="19"/>
      <c r="D145" s="19"/>
      <c r="E145" s="19"/>
      <c r="F145" s="19"/>
      <c r="G145" s="19"/>
      <c r="H145" s="19"/>
      <c r="I145" s="19"/>
      <c r="J145" s="19"/>
      <c r="K145" s="19"/>
      <c r="L145" s="19"/>
      <c r="M145" s="19"/>
      <c r="N145" s="19"/>
      <c r="O145" s="19"/>
      <c r="P145" s="19"/>
      <c r="Q145" s="19"/>
    </row>
    <row r="146" spans="1:17" s="16" customFormat="1" x14ac:dyDescent="0.2">
      <c r="A146" s="19"/>
      <c r="B146" s="19"/>
      <c r="C146" s="19"/>
      <c r="D146" s="19"/>
      <c r="E146" s="19"/>
      <c r="F146" s="19"/>
      <c r="G146" s="19"/>
      <c r="H146" s="19"/>
      <c r="I146" s="19"/>
      <c r="J146" s="19"/>
      <c r="K146" s="19"/>
      <c r="L146" s="19"/>
      <c r="M146" s="19"/>
      <c r="N146" s="19"/>
      <c r="O146" s="19"/>
      <c r="P146" s="19"/>
      <c r="Q146" s="19"/>
    </row>
    <row r="147" spans="1:17" s="16" customFormat="1" x14ac:dyDescent="0.2">
      <c r="A147" s="19"/>
      <c r="B147" s="19"/>
      <c r="C147" s="19"/>
      <c r="D147" s="19"/>
      <c r="E147" s="19"/>
      <c r="F147" s="19"/>
      <c r="G147" s="19"/>
      <c r="H147" s="19"/>
      <c r="I147" s="19"/>
      <c r="J147" s="19"/>
      <c r="K147" s="19"/>
      <c r="L147" s="19"/>
      <c r="M147" s="19"/>
      <c r="N147" s="19"/>
      <c r="O147" s="19"/>
      <c r="P147" s="19"/>
      <c r="Q147" s="19"/>
    </row>
    <row r="148" spans="1:17" s="16" customFormat="1" x14ac:dyDescent="0.2">
      <c r="A148" s="19"/>
      <c r="B148" s="19"/>
      <c r="C148" s="19"/>
      <c r="D148" s="19"/>
      <c r="E148" s="19"/>
      <c r="F148" s="19"/>
      <c r="G148" s="19"/>
      <c r="H148" s="19"/>
      <c r="I148" s="19"/>
      <c r="J148" s="19"/>
      <c r="K148" s="19"/>
      <c r="L148" s="19"/>
      <c r="M148" s="19"/>
      <c r="N148" s="19"/>
      <c r="O148" s="19"/>
      <c r="P148" s="19"/>
      <c r="Q148" s="19"/>
    </row>
    <row r="149" spans="1:17" s="16" customFormat="1" x14ac:dyDescent="0.2">
      <c r="A149" s="19"/>
      <c r="B149" s="19"/>
      <c r="C149" s="19"/>
      <c r="D149" s="19"/>
      <c r="E149" s="19"/>
      <c r="F149" s="19"/>
      <c r="G149" s="19"/>
      <c r="H149" s="19"/>
      <c r="I149" s="19"/>
      <c r="J149" s="19"/>
      <c r="K149" s="19"/>
      <c r="L149" s="19"/>
      <c r="M149" s="19"/>
      <c r="N149" s="19"/>
      <c r="O149" s="19"/>
      <c r="P149" s="19"/>
      <c r="Q149" s="19"/>
    </row>
    <row r="150" spans="1:17" s="16" customFormat="1" x14ac:dyDescent="0.2">
      <c r="A150" s="19"/>
      <c r="B150" s="19"/>
      <c r="C150" s="19"/>
      <c r="D150" s="19"/>
      <c r="E150" s="19"/>
      <c r="F150" s="19"/>
      <c r="G150" s="19"/>
      <c r="H150" s="19"/>
      <c r="I150" s="19"/>
      <c r="J150" s="19"/>
      <c r="K150" s="19"/>
      <c r="L150" s="19"/>
      <c r="M150" s="19"/>
      <c r="N150" s="19"/>
      <c r="O150" s="19"/>
      <c r="P150" s="19"/>
      <c r="Q150" s="19"/>
    </row>
    <row r="151" spans="1:17" s="16" customFormat="1" x14ac:dyDescent="0.2">
      <c r="A151" s="19"/>
      <c r="B151" s="19"/>
      <c r="C151" s="19"/>
      <c r="D151" s="19"/>
      <c r="E151" s="19"/>
      <c r="F151" s="19"/>
      <c r="G151" s="19"/>
      <c r="H151" s="19"/>
      <c r="I151" s="19"/>
      <c r="J151" s="19"/>
      <c r="K151" s="19"/>
      <c r="L151" s="19"/>
      <c r="M151" s="19"/>
      <c r="N151" s="19"/>
      <c r="O151" s="19"/>
      <c r="P151" s="19"/>
      <c r="Q151" s="19"/>
    </row>
    <row r="152" spans="1:17" s="16" customFormat="1" x14ac:dyDescent="0.2">
      <c r="A152" s="19"/>
      <c r="B152" s="19"/>
      <c r="C152" s="19"/>
      <c r="D152" s="19"/>
      <c r="E152" s="19"/>
      <c r="F152" s="19"/>
      <c r="G152" s="19"/>
      <c r="H152" s="19"/>
      <c r="I152" s="19"/>
      <c r="J152" s="19"/>
      <c r="K152" s="19"/>
      <c r="L152" s="19"/>
      <c r="M152" s="19"/>
      <c r="N152" s="19"/>
      <c r="O152" s="19"/>
      <c r="P152" s="19"/>
      <c r="Q152" s="19"/>
    </row>
    <row r="153" spans="1:17" s="16" customFormat="1" x14ac:dyDescent="0.2">
      <c r="A153" s="19"/>
      <c r="B153" s="19"/>
      <c r="C153" s="19"/>
      <c r="D153" s="19"/>
      <c r="E153" s="19"/>
      <c r="F153" s="19"/>
      <c r="G153" s="19"/>
      <c r="H153" s="19"/>
      <c r="I153" s="19"/>
      <c r="J153" s="19"/>
      <c r="K153" s="19"/>
      <c r="L153" s="19"/>
      <c r="M153" s="19"/>
      <c r="N153" s="19"/>
      <c r="O153" s="19"/>
      <c r="P153" s="19"/>
      <c r="Q153" s="19"/>
    </row>
    <row r="154" spans="1:17" s="16" customFormat="1" x14ac:dyDescent="0.2">
      <c r="A154" s="19"/>
      <c r="B154" s="19"/>
      <c r="C154" s="19"/>
      <c r="D154" s="19"/>
      <c r="E154" s="19"/>
      <c r="F154" s="19"/>
      <c r="G154" s="19"/>
      <c r="H154" s="19"/>
      <c r="I154" s="19"/>
      <c r="J154" s="19"/>
      <c r="K154" s="19"/>
      <c r="L154" s="19"/>
      <c r="M154" s="19"/>
      <c r="N154" s="19"/>
      <c r="O154" s="19"/>
      <c r="P154" s="19"/>
      <c r="Q154" s="19"/>
    </row>
    <row r="155" spans="1:17" s="16" customFormat="1" x14ac:dyDescent="0.2">
      <c r="A155" s="19"/>
      <c r="B155" s="19"/>
      <c r="C155" s="19"/>
      <c r="D155" s="19"/>
      <c r="E155" s="19"/>
      <c r="F155" s="19"/>
      <c r="G155" s="19"/>
      <c r="H155" s="19"/>
      <c r="I155" s="19"/>
      <c r="J155" s="19"/>
      <c r="K155" s="19"/>
      <c r="L155" s="19"/>
      <c r="M155" s="19"/>
      <c r="N155" s="19"/>
      <c r="O155" s="19"/>
      <c r="P155" s="19"/>
      <c r="Q155" s="19"/>
    </row>
    <row r="156" spans="1:17" s="16" customFormat="1" x14ac:dyDescent="0.2">
      <c r="A156" s="19"/>
      <c r="B156" s="19"/>
      <c r="C156" s="19"/>
      <c r="D156" s="19"/>
      <c r="E156" s="19"/>
      <c r="F156" s="19"/>
      <c r="G156" s="19"/>
      <c r="H156" s="19"/>
      <c r="I156" s="19"/>
      <c r="J156" s="19"/>
      <c r="K156" s="19"/>
      <c r="L156" s="19"/>
      <c r="M156" s="19"/>
      <c r="N156" s="19"/>
      <c r="O156" s="19"/>
      <c r="P156" s="19"/>
      <c r="Q156" s="19"/>
    </row>
    <row r="157" spans="1:17" s="16" customFormat="1" x14ac:dyDescent="0.2">
      <c r="A157" s="19"/>
      <c r="B157" s="19"/>
      <c r="C157" s="19"/>
      <c r="D157" s="19"/>
      <c r="E157" s="19"/>
      <c r="F157" s="19"/>
      <c r="G157" s="19"/>
      <c r="H157" s="19"/>
      <c r="I157" s="19"/>
      <c r="J157" s="19"/>
      <c r="K157" s="19"/>
      <c r="L157" s="19"/>
      <c r="M157" s="19"/>
      <c r="N157" s="19"/>
      <c r="O157" s="19"/>
      <c r="P157" s="19"/>
      <c r="Q157" s="19"/>
    </row>
    <row r="158" spans="1:17" s="16" customFormat="1" x14ac:dyDescent="0.2">
      <c r="A158" s="19"/>
      <c r="B158" s="19"/>
      <c r="C158" s="19"/>
      <c r="D158" s="19"/>
      <c r="E158" s="19"/>
      <c r="F158" s="19"/>
      <c r="G158" s="19"/>
      <c r="H158" s="19"/>
      <c r="I158" s="19"/>
      <c r="J158" s="19"/>
      <c r="K158" s="19"/>
      <c r="L158" s="19"/>
      <c r="M158" s="19"/>
      <c r="N158" s="19"/>
      <c r="O158" s="19"/>
      <c r="P158" s="19"/>
      <c r="Q158" s="19"/>
    </row>
    <row r="159" spans="1:17" s="16" customFormat="1" x14ac:dyDescent="0.2">
      <c r="A159" s="19"/>
      <c r="B159" s="19"/>
      <c r="C159" s="19"/>
      <c r="D159" s="19"/>
      <c r="E159" s="19"/>
      <c r="F159" s="19"/>
      <c r="G159" s="19"/>
      <c r="H159" s="19"/>
      <c r="I159" s="19"/>
      <c r="J159" s="19"/>
      <c r="K159" s="19"/>
      <c r="L159" s="19"/>
      <c r="M159" s="19"/>
      <c r="N159" s="19"/>
      <c r="O159" s="19"/>
      <c r="P159" s="19"/>
      <c r="Q159" s="19"/>
    </row>
    <row r="160" spans="1:17" s="16" customFormat="1" x14ac:dyDescent="0.2">
      <c r="A160" s="19"/>
      <c r="B160" s="19"/>
      <c r="C160" s="19"/>
      <c r="D160" s="19"/>
      <c r="E160" s="19"/>
      <c r="F160" s="19"/>
      <c r="G160" s="19"/>
      <c r="H160" s="19"/>
      <c r="I160" s="19"/>
      <c r="J160" s="19"/>
      <c r="K160" s="19"/>
      <c r="L160" s="19"/>
      <c r="M160" s="19"/>
      <c r="N160" s="19"/>
      <c r="O160" s="19"/>
      <c r="P160" s="19"/>
      <c r="Q160" s="19"/>
    </row>
    <row r="161" spans="1:17" s="16" customFormat="1" x14ac:dyDescent="0.2">
      <c r="A161" s="19"/>
      <c r="B161" s="19"/>
      <c r="C161" s="19"/>
      <c r="D161" s="19"/>
      <c r="E161" s="19"/>
      <c r="F161" s="19"/>
      <c r="G161" s="19"/>
      <c r="H161" s="19"/>
      <c r="I161" s="19"/>
      <c r="J161" s="19"/>
      <c r="K161" s="19"/>
      <c r="L161" s="19"/>
      <c r="M161" s="19"/>
      <c r="N161" s="19"/>
      <c r="O161" s="19"/>
      <c r="P161" s="19"/>
      <c r="Q161" s="19"/>
    </row>
    <row r="162" spans="1:17" s="16" customFormat="1" x14ac:dyDescent="0.2">
      <c r="A162" s="19"/>
      <c r="B162" s="19"/>
      <c r="C162" s="19"/>
      <c r="D162" s="19"/>
      <c r="E162" s="19"/>
      <c r="F162" s="19"/>
      <c r="G162" s="19"/>
      <c r="H162" s="19"/>
      <c r="I162" s="19"/>
      <c r="J162" s="19"/>
      <c r="K162" s="19"/>
      <c r="L162" s="19"/>
      <c r="M162" s="19"/>
      <c r="N162" s="19"/>
      <c r="O162" s="19"/>
      <c r="P162" s="19"/>
      <c r="Q162" s="19"/>
    </row>
    <row r="163" spans="1:17" s="16" customFormat="1" x14ac:dyDescent="0.2">
      <c r="A163" s="19"/>
      <c r="B163" s="19"/>
      <c r="C163" s="19"/>
      <c r="D163" s="19"/>
      <c r="E163" s="19"/>
      <c r="F163" s="19"/>
      <c r="G163" s="19"/>
      <c r="H163" s="19"/>
      <c r="I163" s="19"/>
      <c r="J163" s="19"/>
      <c r="K163" s="19"/>
      <c r="L163" s="19"/>
      <c r="M163" s="19"/>
      <c r="N163" s="19"/>
      <c r="O163" s="19"/>
      <c r="P163" s="19"/>
      <c r="Q163" s="19"/>
    </row>
    <row r="164" spans="1:17" s="16" customFormat="1" x14ac:dyDescent="0.2">
      <c r="A164" s="19"/>
      <c r="B164" s="19"/>
      <c r="C164" s="19"/>
      <c r="D164" s="19"/>
      <c r="E164" s="19"/>
      <c r="F164" s="19"/>
      <c r="G164" s="19"/>
      <c r="H164" s="19"/>
      <c r="I164" s="19"/>
      <c r="J164" s="19"/>
      <c r="K164" s="19"/>
      <c r="L164" s="19"/>
      <c r="M164" s="19"/>
      <c r="N164" s="19"/>
      <c r="O164" s="19"/>
      <c r="P164" s="19"/>
      <c r="Q164" s="19"/>
    </row>
    <row r="165" spans="1:17" s="16" customFormat="1" x14ac:dyDescent="0.2">
      <c r="A165" s="19"/>
      <c r="B165" s="19"/>
      <c r="C165" s="19"/>
      <c r="D165" s="19"/>
      <c r="E165" s="19"/>
      <c r="F165" s="19"/>
      <c r="G165" s="19"/>
      <c r="H165" s="19"/>
      <c r="I165" s="19"/>
      <c r="J165" s="19"/>
      <c r="K165" s="19"/>
      <c r="L165" s="19"/>
      <c r="M165" s="19"/>
      <c r="N165" s="19"/>
      <c r="O165" s="19"/>
      <c r="P165" s="19"/>
      <c r="Q165" s="19"/>
    </row>
    <row r="166" spans="1:17" s="16" customFormat="1" x14ac:dyDescent="0.2">
      <c r="A166" s="19"/>
      <c r="B166" s="19"/>
      <c r="C166" s="19"/>
      <c r="D166" s="19"/>
      <c r="E166" s="19"/>
      <c r="F166" s="19"/>
      <c r="G166" s="19"/>
      <c r="H166" s="19"/>
      <c r="I166" s="19"/>
      <c r="J166" s="19"/>
      <c r="K166" s="19"/>
      <c r="L166" s="19"/>
      <c r="M166" s="19"/>
      <c r="N166" s="19"/>
      <c r="O166" s="19"/>
      <c r="P166" s="19"/>
      <c r="Q166" s="19"/>
    </row>
    <row r="167" spans="1:17" s="16" customFormat="1" x14ac:dyDescent="0.2">
      <c r="A167" s="19"/>
      <c r="B167" s="19"/>
      <c r="C167" s="19"/>
      <c r="D167" s="19"/>
      <c r="E167" s="19"/>
      <c r="F167" s="19"/>
      <c r="G167" s="19"/>
      <c r="H167" s="19"/>
      <c r="I167" s="19"/>
      <c r="J167" s="19"/>
      <c r="K167" s="19"/>
      <c r="L167" s="19"/>
      <c r="M167" s="19"/>
      <c r="N167" s="19"/>
      <c r="O167" s="19"/>
      <c r="P167" s="19"/>
      <c r="Q167" s="19"/>
    </row>
    <row r="168" spans="1:17" s="16" customFormat="1" x14ac:dyDescent="0.2">
      <c r="A168" s="19"/>
      <c r="B168" s="19"/>
      <c r="C168" s="19"/>
      <c r="D168" s="19"/>
      <c r="E168" s="19"/>
      <c r="F168" s="19"/>
      <c r="G168" s="19"/>
      <c r="H168" s="19"/>
      <c r="I168" s="19"/>
      <c r="J168" s="19"/>
      <c r="K168" s="19"/>
      <c r="L168" s="19"/>
      <c r="M168" s="19"/>
      <c r="N168" s="19"/>
      <c r="O168" s="19"/>
      <c r="P168" s="19"/>
      <c r="Q168" s="19"/>
    </row>
    <row r="169" spans="1:17" s="16" customFormat="1" x14ac:dyDescent="0.2">
      <c r="A169" s="19"/>
      <c r="B169" s="19"/>
      <c r="C169" s="19"/>
      <c r="D169" s="19"/>
      <c r="E169" s="19"/>
      <c r="F169" s="19"/>
      <c r="G169" s="19"/>
      <c r="H169" s="19"/>
      <c r="I169" s="19"/>
      <c r="J169" s="19"/>
      <c r="K169" s="19"/>
      <c r="L169" s="19"/>
      <c r="M169" s="19"/>
      <c r="N169" s="19"/>
      <c r="O169" s="19"/>
      <c r="P169" s="19"/>
      <c r="Q169" s="19"/>
    </row>
    <row r="170" spans="1:17" s="16" customFormat="1" x14ac:dyDescent="0.2">
      <c r="A170" s="19"/>
      <c r="B170" s="19"/>
      <c r="C170" s="19"/>
      <c r="D170" s="19"/>
      <c r="E170" s="19"/>
      <c r="F170" s="19"/>
      <c r="G170" s="19"/>
      <c r="H170" s="19"/>
      <c r="I170" s="19"/>
      <c r="J170" s="19"/>
      <c r="K170" s="19"/>
      <c r="L170" s="19"/>
      <c r="M170" s="19"/>
      <c r="N170" s="19"/>
      <c r="O170" s="19"/>
      <c r="P170" s="19"/>
      <c r="Q170" s="19"/>
    </row>
    <row r="171" spans="1:17" s="16" customFormat="1" x14ac:dyDescent="0.2">
      <c r="A171" s="19"/>
      <c r="B171" s="19"/>
      <c r="C171" s="19"/>
      <c r="D171" s="19"/>
      <c r="E171" s="19"/>
      <c r="F171" s="19"/>
      <c r="G171" s="19"/>
      <c r="H171" s="19"/>
      <c r="I171" s="19"/>
      <c r="J171" s="19"/>
      <c r="K171" s="19"/>
      <c r="L171" s="19"/>
      <c r="M171" s="19"/>
      <c r="N171" s="19"/>
      <c r="O171" s="19"/>
      <c r="P171" s="19"/>
      <c r="Q171" s="19"/>
    </row>
    <row r="172" spans="1:17" s="16" customFormat="1" x14ac:dyDescent="0.2">
      <c r="A172" s="19"/>
      <c r="B172" s="19"/>
      <c r="C172" s="19"/>
      <c r="D172" s="19"/>
      <c r="E172" s="19"/>
      <c r="F172" s="19"/>
      <c r="G172" s="19"/>
      <c r="H172" s="19"/>
      <c r="I172" s="19"/>
      <c r="J172" s="19"/>
      <c r="K172" s="19"/>
      <c r="L172" s="19"/>
      <c r="M172" s="19"/>
      <c r="N172" s="19"/>
      <c r="O172" s="19"/>
      <c r="P172" s="19"/>
      <c r="Q172" s="19"/>
    </row>
    <row r="173" spans="1:17" s="16" customFormat="1" x14ac:dyDescent="0.2">
      <c r="A173" s="19"/>
      <c r="B173" s="19"/>
      <c r="C173" s="19"/>
      <c r="D173" s="19"/>
      <c r="E173" s="19"/>
      <c r="F173" s="19"/>
      <c r="G173" s="19"/>
      <c r="H173" s="19"/>
      <c r="I173" s="19"/>
      <c r="J173" s="19"/>
      <c r="K173" s="19"/>
      <c r="L173" s="19"/>
      <c r="M173" s="19"/>
      <c r="N173" s="19"/>
      <c r="O173" s="19"/>
      <c r="P173" s="19"/>
      <c r="Q173" s="19"/>
    </row>
    <row r="174" spans="1:17" s="16" customFormat="1" x14ac:dyDescent="0.2">
      <c r="A174" s="19"/>
      <c r="B174" s="19"/>
      <c r="C174" s="19"/>
      <c r="D174" s="19"/>
      <c r="E174" s="19"/>
      <c r="F174" s="19"/>
      <c r="G174" s="19"/>
      <c r="H174" s="19"/>
      <c r="I174" s="19"/>
      <c r="J174" s="19"/>
      <c r="K174" s="19"/>
      <c r="L174" s="19"/>
      <c r="M174" s="19"/>
      <c r="N174" s="19"/>
      <c r="O174" s="19"/>
      <c r="P174" s="19"/>
      <c r="Q174" s="19"/>
    </row>
    <row r="175" spans="1:17" s="16" customFormat="1" x14ac:dyDescent="0.2">
      <c r="A175" s="19"/>
      <c r="B175" s="19"/>
      <c r="C175" s="19"/>
      <c r="D175" s="19"/>
      <c r="E175" s="19"/>
      <c r="F175" s="19"/>
      <c r="G175" s="19"/>
      <c r="H175" s="19"/>
      <c r="I175" s="19"/>
      <c r="J175" s="19"/>
      <c r="K175" s="19"/>
      <c r="L175" s="19"/>
      <c r="M175" s="19"/>
      <c r="N175" s="19"/>
      <c r="O175" s="19"/>
      <c r="P175" s="19"/>
      <c r="Q175" s="19"/>
    </row>
    <row r="176" spans="1:17" s="16" customFormat="1" x14ac:dyDescent="0.2">
      <c r="A176" s="19"/>
      <c r="B176" s="19"/>
      <c r="C176" s="19"/>
      <c r="D176" s="19"/>
      <c r="E176" s="19"/>
      <c r="F176" s="19"/>
      <c r="G176" s="19"/>
      <c r="H176" s="19"/>
      <c r="I176" s="19"/>
      <c r="J176" s="19"/>
      <c r="K176" s="19"/>
      <c r="L176" s="19"/>
      <c r="M176" s="19"/>
      <c r="N176" s="19"/>
      <c r="O176" s="19"/>
      <c r="P176" s="19"/>
      <c r="Q176" s="19"/>
    </row>
    <row r="177" spans="1:17" s="16" customFormat="1" x14ac:dyDescent="0.2">
      <c r="A177" s="19"/>
      <c r="B177" s="19"/>
      <c r="C177" s="19"/>
      <c r="D177" s="19"/>
      <c r="E177" s="19"/>
      <c r="F177" s="19"/>
      <c r="G177" s="19"/>
      <c r="H177" s="19"/>
      <c r="I177" s="19"/>
      <c r="J177" s="19"/>
      <c r="K177" s="19"/>
      <c r="L177" s="19"/>
      <c r="M177" s="19"/>
      <c r="N177" s="19"/>
      <c r="O177" s="19"/>
      <c r="P177" s="19"/>
      <c r="Q177" s="19"/>
    </row>
    <row r="178" spans="1:17" s="16" customFormat="1" x14ac:dyDescent="0.2">
      <c r="A178" s="19"/>
      <c r="B178" s="19"/>
      <c r="C178" s="19"/>
      <c r="D178" s="19"/>
      <c r="E178" s="19"/>
      <c r="F178" s="19"/>
      <c r="G178" s="19"/>
      <c r="H178" s="19"/>
      <c r="I178" s="19"/>
      <c r="J178" s="19"/>
      <c r="K178" s="19"/>
      <c r="L178" s="19"/>
      <c r="M178" s="19"/>
      <c r="N178" s="19"/>
      <c r="O178" s="19"/>
      <c r="P178" s="19"/>
      <c r="Q178" s="19"/>
    </row>
    <row r="179" spans="1:17" s="16" customFormat="1" x14ac:dyDescent="0.2">
      <c r="A179" s="19"/>
      <c r="B179" s="19"/>
      <c r="C179" s="19"/>
      <c r="D179" s="19"/>
      <c r="E179" s="19"/>
      <c r="F179" s="19"/>
      <c r="G179" s="19"/>
      <c r="H179" s="19"/>
      <c r="I179" s="19"/>
      <c r="J179" s="19"/>
      <c r="K179" s="19"/>
      <c r="L179" s="19"/>
      <c r="M179" s="19"/>
      <c r="N179" s="19"/>
      <c r="O179" s="19"/>
      <c r="P179" s="19"/>
      <c r="Q179" s="19"/>
    </row>
    <row r="180" spans="1:17" s="16" customFormat="1" x14ac:dyDescent="0.2">
      <c r="A180" s="19"/>
      <c r="B180" s="19"/>
      <c r="C180" s="19"/>
      <c r="D180" s="19"/>
      <c r="E180" s="19"/>
      <c r="F180" s="19"/>
      <c r="G180" s="19"/>
      <c r="H180" s="19"/>
      <c r="I180" s="19"/>
      <c r="J180" s="19"/>
      <c r="K180" s="19"/>
      <c r="L180" s="19"/>
      <c r="M180" s="19"/>
      <c r="N180" s="19"/>
      <c r="O180" s="19"/>
      <c r="P180" s="19"/>
      <c r="Q180" s="19"/>
    </row>
    <row r="181" spans="1:17" s="16" customFormat="1" x14ac:dyDescent="0.2">
      <c r="A181" s="19"/>
      <c r="B181" s="19"/>
      <c r="C181" s="19"/>
      <c r="D181" s="19"/>
      <c r="E181" s="19"/>
      <c r="F181" s="19"/>
      <c r="G181" s="19"/>
      <c r="H181" s="19"/>
      <c r="I181" s="19"/>
      <c r="J181" s="19"/>
      <c r="K181" s="19"/>
      <c r="L181" s="19"/>
      <c r="M181" s="19"/>
      <c r="N181" s="19"/>
      <c r="O181" s="19"/>
      <c r="P181" s="19"/>
      <c r="Q181" s="19"/>
    </row>
    <row r="182" spans="1:17" s="16" customFormat="1" x14ac:dyDescent="0.2">
      <c r="A182" s="19"/>
      <c r="B182" s="19"/>
      <c r="C182" s="19"/>
      <c r="D182" s="19"/>
      <c r="E182" s="19"/>
      <c r="F182" s="19"/>
      <c r="G182" s="19"/>
      <c r="H182" s="19"/>
      <c r="I182" s="19"/>
      <c r="J182" s="19"/>
      <c r="K182" s="19"/>
      <c r="L182" s="19"/>
      <c r="M182" s="19"/>
      <c r="N182" s="19"/>
      <c r="O182" s="19"/>
      <c r="P182" s="19"/>
      <c r="Q182" s="19"/>
    </row>
    <row r="183" spans="1:17" s="16" customFormat="1" x14ac:dyDescent="0.2">
      <c r="A183" s="19"/>
      <c r="B183" s="19"/>
      <c r="C183" s="19"/>
      <c r="D183" s="19"/>
      <c r="E183" s="19"/>
      <c r="F183" s="19"/>
      <c r="G183" s="19"/>
      <c r="H183" s="19"/>
      <c r="I183" s="19"/>
      <c r="J183" s="19"/>
      <c r="K183" s="19"/>
      <c r="L183" s="19"/>
      <c r="M183" s="19"/>
      <c r="N183" s="19"/>
      <c r="O183" s="19"/>
      <c r="P183" s="19"/>
      <c r="Q183" s="19"/>
    </row>
    <row r="184" spans="1:17" s="16" customFormat="1" x14ac:dyDescent="0.2">
      <c r="A184" s="19"/>
      <c r="B184" s="19"/>
      <c r="C184" s="19"/>
      <c r="D184" s="19"/>
      <c r="E184" s="19"/>
      <c r="F184" s="19"/>
      <c r="G184" s="19"/>
      <c r="H184" s="19"/>
      <c r="I184" s="19"/>
      <c r="J184" s="19"/>
      <c r="K184" s="19"/>
      <c r="L184" s="19"/>
      <c r="M184" s="19"/>
      <c r="N184" s="19"/>
      <c r="O184" s="19"/>
      <c r="P184" s="19"/>
      <c r="Q184" s="19"/>
    </row>
    <row r="185" spans="1:17" s="16" customFormat="1" x14ac:dyDescent="0.2">
      <c r="A185" s="19"/>
      <c r="B185" s="19"/>
      <c r="C185" s="19"/>
      <c r="D185" s="19"/>
      <c r="E185" s="19"/>
      <c r="F185" s="19"/>
      <c r="G185" s="19"/>
      <c r="H185" s="19"/>
      <c r="I185" s="19"/>
      <c r="J185" s="19"/>
      <c r="K185" s="19"/>
      <c r="L185" s="19"/>
      <c r="M185" s="19"/>
      <c r="N185" s="19"/>
      <c r="O185" s="19"/>
      <c r="P185" s="19"/>
      <c r="Q185" s="19"/>
    </row>
    <row r="186" spans="1:17" s="16" customFormat="1" x14ac:dyDescent="0.2">
      <c r="A186" s="19"/>
      <c r="B186" s="19"/>
      <c r="C186" s="19"/>
      <c r="D186" s="19"/>
      <c r="E186" s="19"/>
      <c r="F186" s="19"/>
      <c r="G186" s="19"/>
      <c r="H186" s="19"/>
      <c r="I186" s="19"/>
      <c r="J186" s="19"/>
      <c r="K186" s="19"/>
      <c r="L186" s="19"/>
      <c r="M186" s="19"/>
      <c r="N186" s="19"/>
      <c r="O186" s="19"/>
      <c r="P186" s="19"/>
      <c r="Q186" s="19"/>
    </row>
    <row r="187" spans="1:17" s="16" customFormat="1" x14ac:dyDescent="0.2">
      <c r="A187" s="19"/>
      <c r="B187" s="19"/>
      <c r="C187" s="19"/>
      <c r="D187" s="19"/>
      <c r="E187" s="19"/>
      <c r="F187" s="19"/>
      <c r="G187" s="19"/>
      <c r="H187" s="19"/>
      <c r="I187" s="19"/>
      <c r="J187" s="19"/>
      <c r="K187" s="19"/>
      <c r="L187" s="19"/>
      <c r="M187" s="19"/>
      <c r="N187" s="19"/>
      <c r="O187" s="19"/>
      <c r="P187" s="19"/>
      <c r="Q187" s="19"/>
    </row>
    <row r="188" spans="1:17" s="16" customFormat="1" x14ac:dyDescent="0.2">
      <c r="A188" s="19"/>
      <c r="B188" s="19"/>
      <c r="C188" s="19"/>
      <c r="D188" s="19"/>
      <c r="E188" s="19"/>
      <c r="F188" s="19"/>
      <c r="G188" s="19"/>
      <c r="H188" s="19"/>
      <c r="I188" s="19"/>
      <c r="J188" s="19"/>
      <c r="K188" s="19"/>
      <c r="L188" s="19"/>
      <c r="M188" s="19"/>
      <c r="N188" s="19"/>
      <c r="O188" s="19"/>
      <c r="P188" s="19"/>
      <c r="Q188" s="19"/>
    </row>
    <row r="189" spans="1:17" s="16" customFormat="1" x14ac:dyDescent="0.2">
      <c r="A189" s="19"/>
      <c r="B189" s="19"/>
      <c r="C189" s="19"/>
      <c r="D189" s="19"/>
      <c r="E189" s="19"/>
      <c r="F189" s="19"/>
      <c r="G189" s="19"/>
      <c r="H189" s="19"/>
      <c r="I189" s="19"/>
      <c r="J189" s="19"/>
      <c r="K189" s="19"/>
      <c r="L189" s="19"/>
      <c r="M189" s="19"/>
      <c r="N189" s="19"/>
      <c r="O189" s="19"/>
      <c r="P189" s="19"/>
      <c r="Q189" s="19"/>
    </row>
    <row r="190" spans="1:17" s="16" customFormat="1" x14ac:dyDescent="0.2">
      <c r="A190" s="19"/>
      <c r="B190" s="19"/>
      <c r="C190" s="19"/>
      <c r="D190" s="19"/>
      <c r="E190" s="19"/>
      <c r="F190" s="19"/>
      <c r="G190" s="19"/>
      <c r="H190" s="19"/>
      <c r="I190" s="19"/>
      <c r="J190" s="19"/>
      <c r="K190" s="19"/>
      <c r="L190" s="19"/>
      <c r="M190" s="19"/>
      <c r="N190" s="19"/>
      <c r="O190" s="19"/>
      <c r="P190" s="19"/>
      <c r="Q190" s="19"/>
    </row>
    <row r="191" spans="1:17" s="16" customFormat="1" x14ac:dyDescent="0.2">
      <c r="A191" s="19"/>
      <c r="B191" s="19"/>
      <c r="C191" s="19"/>
      <c r="D191" s="19"/>
      <c r="E191" s="19"/>
      <c r="F191" s="19"/>
      <c r="G191" s="19"/>
      <c r="H191" s="19"/>
      <c r="I191" s="19"/>
      <c r="J191" s="19"/>
      <c r="K191" s="19"/>
      <c r="L191" s="19"/>
      <c r="M191" s="19"/>
      <c r="N191" s="19"/>
      <c r="O191" s="19"/>
      <c r="P191" s="19"/>
      <c r="Q191" s="19"/>
    </row>
    <row r="192" spans="1:17" s="16" customFormat="1" x14ac:dyDescent="0.2">
      <c r="A192" s="19"/>
      <c r="B192" s="19"/>
      <c r="C192" s="19"/>
      <c r="D192" s="19"/>
      <c r="E192" s="19"/>
      <c r="F192" s="19"/>
      <c r="G192" s="19"/>
      <c r="H192" s="19"/>
      <c r="I192" s="19"/>
      <c r="J192" s="19"/>
      <c r="K192" s="19"/>
      <c r="L192" s="19"/>
      <c r="M192" s="19"/>
      <c r="N192" s="19"/>
      <c r="O192" s="19"/>
      <c r="P192" s="19"/>
      <c r="Q192" s="19"/>
    </row>
    <row r="193" spans="1:17" s="16" customFormat="1" x14ac:dyDescent="0.2">
      <c r="A193" s="19"/>
      <c r="B193" s="19"/>
      <c r="C193" s="19"/>
      <c r="D193" s="19"/>
      <c r="E193" s="19"/>
      <c r="F193" s="19"/>
      <c r="G193" s="19"/>
      <c r="H193" s="19"/>
      <c r="I193" s="19"/>
      <c r="J193" s="19"/>
      <c r="K193" s="19"/>
      <c r="L193" s="19"/>
      <c r="M193" s="19"/>
      <c r="N193" s="19"/>
      <c r="O193" s="19"/>
      <c r="P193" s="19"/>
      <c r="Q193" s="19"/>
    </row>
    <row r="194" spans="1:17" s="16" customFormat="1" x14ac:dyDescent="0.2">
      <c r="A194" s="19"/>
      <c r="B194" s="19"/>
      <c r="C194" s="19"/>
      <c r="D194" s="19"/>
      <c r="E194" s="19"/>
      <c r="F194" s="19"/>
      <c r="G194" s="19"/>
      <c r="H194" s="19"/>
      <c r="I194" s="19"/>
      <c r="J194" s="19"/>
      <c r="K194" s="19"/>
      <c r="L194" s="19"/>
      <c r="M194" s="19"/>
      <c r="N194" s="19"/>
      <c r="O194" s="19"/>
      <c r="P194" s="19"/>
      <c r="Q194" s="19"/>
    </row>
    <row r="195" spans="1:17" s="16" customFormat="1" x14ac:dyDescent="0.2">
      <c r="A195" s="19"/>
      <c r="B195" s="19"/>
      <c r="C195" s="19"/>
      <c r="D195" s="19"/>
      <c r="E195" s="19"/>
      <c r="F195" s="19"/>
      <c r="G195" s="19"/>
      <c r="H195" s="19"/>
      <c r="I195" s="19"/>
      <c r="J195" s="19"/>
      <c r="K195" s="19"/>
      <c r="L195" s="19"/>
      <c r="M195" s="19"/>
      <c r="N195" s="19"/>
      <c r="O195" s="19"/>
      <c r="P195" s="19"/>
      <c r="Q195" s="19"/>
    </row>
    <row r="196" spans="1:17" s="16" customFormat="1" x14ac:dyDescent="0.2">
      <c r="A196" s="19"/>
      <c r="B196" s="19"/>
      <c r="C196" s="19"/>
      <c r="D196" s="19"/>
      <c r="E196" s="19"/>
      <c r="F196" s="19"/>
      <c r="G196" s="19"/>
      <c r="H196" s="19"/>
      <c r="I196" s="19"/>
      <c r="J196" s="19"/>
      <c r="K196" s="19"/>
      <c r="L196" s="19"/>
      <c r="M196" s="19"/>
      <c r="N196" s="19"/>
      <c r="O196" s="19"/>
      <c r="P196" s="19"/>
      <c r="Q196" s="19"/>
    </row>
    <row r="197" spans="1:17" s="16" customFormat="1" x14ac:dyDescent="0.2">
      <c r="A197" s="19"/>
      <c r="B197" s="19"/>
      <c r="C197" s="19"/>
      <c r="D197" s="19"/>
      <c r="E197" s="19"/>
      <c r="F197" s="19"/>
      <c r="G197" s="19"/>
      <c r="H197" s="19"/>
      <c r="I197" s="19"/>
      <c r="J197" s="19"/>
      <c r="K197" s="19"/>
      <c r="L197" s="19"/>
      <c r="M197" s="19"/>
      <c r="N197" s="19"/>
      <c r="O197" s="19"/>
      <c r="P197" s="19"/>
      <c r="Q197" s="19"/>
    </row>
    <row r="198" spans="1:17" s="16" customFormat="1" x14ac:dyDescent="0.2">
      <c r="A198" s="19"/>
      <c r="B198" s="19"/>
      <c r="C198" s="19"/>
      <c r="D198" s="19"/>
      <c r="E198" s="19"/>
      <c r="F198" s="19"/>
      <c r="G198" s="19"/>
      <c r="H198" s="19"/>
      <c r="I198" s="19"/>
      <c r="J198" s="19"/>
      <c r="K198" s="19"/>
      <c r="L198" s="19"/>
      <c r="M198" s="19"/>
      <c r="N198" s="19"/>
      <c r="O198" s="19"/>
      <c r="P198" s="19"/>
      <c r="Q198" s="19"/>
    </row>
    <row r="199" spans="1:17" s="16" customFormat="1" x14ac:dyDescent="0.2">
      <c r="A199" s="19"/>
      <c r="B199" s="19"/>
      <c r="C199" s="19"/>
      <c r="D199" s="19"/>
      <c r="E199" s="19"/>
      <c r="F199" s="19"/>
      <c r="G199" s="19"/>
      <c r="H199" s="19"/>
      <c r="I199" s="19"/>
      <c r="J199" s="19"/>
      <c r="K199" s="19"/>
      <c r="L199" s="19"/>
      <c r="M199" s="19"/>
      <c r="N199" s="19"/>
      <c r="O199" s="19"/>
      <c r="P199" s="19"/>
      <c r="Q199" s="19"/>
    </row>
    <row r="200" spans="1:17" s="16" customFormat="1" x14ac:dyDescent="0.2">
      <c r="A200" s="19"/>
      <c r="B200" s="19"/>
      <c r="C200" s="19"/>
      <c r="D200" s="19"/>
      <c r="E200" s="19"/>
      <c r="F200" s="19"/>
      <c r="G200" s="19"/>
      <c r="H200" s="19"/>
      <c r="I200" s="19"/>
      <c r="J200" s="19"/>
      <c r="K200" s="19"/>
      <c r="L200" s="19"/>
      <c r="M200" s="19"/>
      <c r="N200" s="19"/>
      <c r="O200" s="19"/>
      <c r="P200" s="19"/>
      <c r="Q200" s="19"/>
    </row>
    <row r="201" spans="1:17" s="16" customFormat="1" x14ac:dyDescent="0.2">
      <c r="A201" s="19"/>
      <c r="B201" s="19"/>
      <c r="C201" s="19"/>
      <c r="D201" s="19"/>
      <c r="E201" s="19"/>
      <c r="F201" s="19"/>
      <c r="G201" s="19"/>
      <c r="H201" s="19"/>
      <c r="I201" s="19"/>
      <c r="J201" s="19"/>
      <c r="K201" s="19"/>
      <c r="L201" s="19"/>
      <c r="M201" s="19"/>
      <c r="N201" s="19"/>
      <c r="O201" s="19"/>
      <c r="P201" s="19"/>
      <c r="Q201" s="19"/>
    </row>
    <row r="202" spans="1:17" s="16" customFormat="1" x14ac:dyDescent="0.2">
      <c r="A202" s="19"/>
      <c r="B202" s="19"/>
      <c r="C202" s="19"/>
      <c r="D202" s="19"/>
      <c r="E202" s="19"/>
      <c r="F202" s="19"/>
      <c r="G202" s="19"/>
      <c r="H202" s="19"/>
      <c r="I202" s="19"/>
      <c r="J202" s="19"/>
      <c r="K202" s="19"/>
      <c r="L202" s="19"/>
      <c r="M202" s="19"/>
      <c r="N202" s="19"/>
      <c r="O202" s="19"/>
      <c r="P202" s="19"/>
      <c r="Q202" s="19"/>
    </row>
    <row r="203" spans="1:17" s="16" customFormat="1" x14ac:dyDescent="0.2">
      <c r="A203" s="19"/>
      <c r="B203" s="19"/>
      <c r="C203" s="19"/>
      <c r="D203" s="19"/>
      <c r="E203" s="19"/>
      <c r="F203" s="19"/>
      <c r="G203" s="19"/>
      <c r="H203" s="19"/>
      <c r="I203" s="19"/>
      <c r="J203" s="19"/>
      <c r="K203" s="19"/>
      <c r="L203" s="19"/>
      <c r="M203" s="19"/>
      <c r="N203" s="19"/>
      <c r="O203" s="19"/>
      <c r="P203" s="19"/>
      <c r="Q203" s="19"/>
    </row>
    <row r="204" spans="1:17" s="16" customFormat="1" x14ac:dyDescent="0.2">
      <c r="A204" s="19"/>
      <c r="B204" s="19"/>
      <c r="C204" s="19"/>
      <c r="D204" s="19"/>
      <c r="E204" s="19"/>
      <c r="F204" s="19"/>
      <c r="G204" s="19"/>
      <c r="H204" s="19"/>
      <c r="I204" s="19"/>
      <c r="J204" s="19"/>
      <c r="K204" s="19"/>
      <c r="L204" s="19"/>
      <c r="M204" s="19"/>
      <c r="N204" s="19"/>
      <c r="O204" s="19"/>
      <c r="P204" s="19"/>
      <c r="Q204" s="19"/>
    </row>
    <row r="205" spans="1:17" s="16" customFormat="1" x14ac:dyDescent="0.2">
      <c r="A205" s="19"/>
      <c r="B205" s="19"/>
      <c r="C205" s="19"/>
      <c r="D205" s="19"/>
      <c r="E205" s="19"/>
      <c r="F205" s="19"/>
      <c r="G205" s="19"/>
      <c r="H205" s="19"/>
      <c r="I205" s="19"/>
      <c r="J205" s="19"/>
      <c r="K205" s="19"/>
      <c r="L205" s="19"/>
      <c r="M205" s="19"/>
      <c r="N205" s="19"/>
      <c r="O205" s="19"/>
      <c r="P205" s="19"/>
      <c r="Q205" s="19"/>
    </row>
    <row r="206" spans="1:17" s="16" customFormat="1" x14ac:dyDescent="0.2">
      <c r="A206" s="19"/>
      <c r="B206" s="19"/>
      <c r="C206" s="19"/>
      <c r="D206" s="19"/>
      <c r="E206" s="19"/>
      <c r="F206" s="19"/>
      <c r="G206" s="19"/>
      <c r="H206" s="19"/>
      <c r="I206" s="19"/>
      <c r="J206" s="19"/>
      <c r="K206" s="19"/>
      <c r="L206" s="19"/>
      <c r="M206" s="19"/>
      <c r="N206" s="19"/>
      <c r="O206" s="19"/>
      <c r="P206" s="19"/>
      <c r="Q206" s="19"/>
    </row>
    <row r="207" spans="1:17" s="16" customFormat="1" x14ac:dyDescent="0.2">
      <c r="A207" s="19"/>
      <c r="B207" s="19"/>
      <c r="C207" s="19"/>
      <c r="D207" s="19"/>
      <c r="E207" s="19"/>
      <c r="F207" s="19"/>
      <c r="G207" s="19"/>
      <c r="H207" s="19"/>
      <c r="I207" s="19"/>
      <c r="J207" s="19"/>
      <c r="K207" s="19"/>
      <c r="L207" s="19"/>
      <c r="M207" s="19"/>
      <c r="N207" s="19"/>
      <c r="O207" s="19"/>
      <c r="P207" s="19"/>
      <c r="Q207" s="19"/>
    </row>
  </sheetData>
  <mergeCells count="80">
    <mergeCell ref="C49:D49"/>
    <mergeCell ref="C55:D55"/>
    <mergeCell ref="C56:D56"/>
    <mergeCell ref="C57:D57"/>
    <mergeCell ref="C72:D72"/>
    <mergeCell ref="C53:D53"/>
    <mergeCell ref="C59:D59"/>
    <mergeCell ref="C60:C71"/>
    <mergeCell ref="C54:D54"/>
    <mergeCell ref="B2:D2"/>
    <mergeCell ref="C13:D13"/>
    <mergeCell ref="C14:D14"/>
    <mergeCell ref="C15:D15"/>
    <mergeCell ref="C16:D16"/>
    <mergeCell ref="C11:D11"/>
    <mergeCell ref="C12:D12"/>
    <mergeCell ref="C17:D17"/>
    <mergeCell ref="C18:D18"/>
    <mergeCell ref="C19:D19"/>
    <mergeCell ref="C20:D20"/>
    <mergeCell ref="C21:D21"/>
    <mergeCell ref="C22:D22"/>
    <mergeCell ref="C28:D28"/>
    <mergeCell ref="P41:Q41"/>
    <mergeCell ref="B36:B117"/>
    <mergeCell ref="E3:F3"/>
    <mergeCell ref="B8:B26"/>
    <mergeCell ref="B27:B35"/>
    <mergeCell ref="G44:G50"/>
    <mergeCell ref="C4:D4"/>
    <mergeCell ref="C5:D5"/>
    <mergeCell ref="C6:D6"/>
    <mergeCell ref="C7:D7"/>
    <mergeCell ref="C117:D117"/>
    <mergeCell ref="C8:D8"/>
    <mergeCell ref="C9:D9"/>
    <mergeCell ref="C10:D10"/>
    <mergeCell ref="J44:J50"/>
    <mergeCell ref="K2:L2"/>
    <mergeCell ref="K3:L3"/>
    <mergeCell ref="H2:I2"/>
    <mergeCell ref="E2:F2"/>
    <mergeCell ref="H3:I3"/>
    <mergeCell ref="C37:D37"/>
    <mergeCell ref="C23:D23"/>
    <mergeCell ref="C24:D24"/>
    <mergeCell ref="C25:D25"/>
    <mergeCell ref="C26:D26"/>
    <mergeCell ref="C27:D27"/>
    <mergeCell ref="C32:D32"/>
    <mergeCell ref="C33:D33"/>
    <mergeCell ref="C34:D34"/>
    <mergeCell ref="C35:D35"/>
    <mergeCell ref="C36:D36"/>
    <mergeCell ref="O28:Q28"/>
    <mergeCell ref="C51:D51"/>
    <mergeCell ref="C52:D52"/>
    <mergeCell ref="C45:D45"/>
    <mergeCell ref="C46:D46"/>
    <mergeCell ref="C47:D47"/>
    <mergeCell ref="C48:D48"/>
    <mergeCell ref="C50:D50"/>
    <mergeCell ref="C38:D38"/>
    <mergeCell ref="C39:D39"/>
    <mergeCell ref="C40:D40"/>
    <mergeCell ref="C44:D44"/>
    <mergeCell ref="C41:C43"/>
    <mergeCell ref="C29:D29"/>
    <mergeCell ref="C30:D30"/>
    <mergeCell ref="C31:D31"/>
    <mergeCell ref="C116:D116"/>
    <mergeCell ref="C115:D115"/>
    <mergeCell ref="C114:D114"/>
    <mergeCell ref="C113:D113"/>
    <mergeCell ref="C99:C112"/>
    <mergeCell ref="C85:D85"/>
    <mergeCell ref="C98:D98"/>
    <mergeCell ref="C58:D58"/>
    <mergeCell ref="C73:C84"/>
    <mergeCell ref="C86:C97"/>
  </mergeCells>
  <pageMargins left="0.78740157499999996" right="0.78740157499999996" top="0.984251969" bottom="0.984251969" header="0.4921259845" footer="0.4921259845"/>
  <pageSetup paperSize="9" fitToHeight="0" orientation="portrait" r:id="rId1"/>
  <headerFooter alignWithMargins="0"/>
  <ignoredErrors>
    <ignoredError sqref="E36" formulaRange="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Y208"/>
  <sheetViews>
    <sheetView topLeftCell="A2" zoomScale="70" zoomScaleNormal="70" workbookViewId="0">
      <pane xSplit="4" ySplit="6" topLeftCell="T94" activePane="bottomRight" state="frozen"/>
      <selection activeCell="A2" sqref="A2"/>
      <selection pane="topRight" activeCell="D2" sqref="D2"/>
      <selection pane="bottomLeft" activeCell="A8" sqref="A8"/>
      <selection pane="bottomRight" activeCell="G27" sqref="G27"/>
    </sheetView>
    <sheetView tabSelected="1" workbookViewId="1">
      <pane xSplit="2" ySplit="6" topLeftCell="C7" activePane="bottomRight" state="frozen"/>
      <selection pane="topRight" activeCell="C1" sqref="C1"/>
      <selection pane="bottomLeft" activeCell="A7" sqref="A7"/>
      <selection pane="bottomRight" activeCell="A7" sqref="A7"/>
    </sheetView>
  </sheetViews>
  <sheetFormatPr baseColWidth="10" defaultColWidth="11.42578125" defaultRowHeight="12.75" x14ac:dyDescent="0.2"/>
  <cols>
    <col min="1" max="1" width="2.7109375" style="19" customWidth="1"/>
    <col min="2" max="3" width="23.5703125" style="1" customWidth="1"/>
    <col min="4" max="4" width="17.7109375" style="1" customWidth="1"/>
    <col min="5" max="5" width="13.28515625" style="1" customWidth="1"/>
    <col min="6" max="6" width="13.7109375" style="19" customWidth="1"/>
    <col min="7" max="7" width="11.140625" style="1" customWidth="1"/>
    <col min="8" max="8" width="12.140625" style="1" customWidth="1"/>
    <col min="9" max="9" width="11.5703125" style="1" customWidth="1"/>
    <col min="10" max="10" width="12.7109375" style="1" customWidth="1"/>
    <col min="11" max="12" width="12" style="1" customWidth="1"/>
    <col min="13" max="13" width="11.42578125" style="1" customWidth="1"/>
    <col min="14" max="14" width="5" style="212" customWidth="1"/>
    <col min="15" max="15" width="5" customWidth="1"/>
    <col min="16" max="16" width="13.5703125" style="19" customWidth="1"/>
    <col min="17" max="17" width="13.7109375" style="19" customWidth="1"/>
    <col min="18" max="24" width="11.42578125" style="19" customWidth="1"/>
    <col min="25" max="25" width="11.42578125" style="19"/>
    <col min="26" max="27" width="5" style="19" customWidth="1"/>
    <col min="28" max="28" width="13.7109375" style="19" customWidth="1"/>
    <col min="29" max="35" width="11.42578125" style="19" customWidth="1"/>
    <col min="36" max="36" width="11.42578125" style="19"/>
    <col min="37" max="38" width="19.7109375" style="19" customWidth="1"/>
    <col min="39" max="39" width="5" style="19" customWidth="1"/>
    <col min="40" max="129" width="11.42578125" style="16"/>
    <col min="130" max="16384" width="11.42578125" style="1"/>
  </cols>
  <sheetData>
    <row r="1" spans="1:129" ht="13.5" thickBot="1" x14ac:dyDescent="0.25">
      <c r="E1"/>
    </row>
    <row r="2" spans="1:129" ht="38.25" customHeight="1" thickBot="1" x14ac:dyDescent="0.4">
      <c r="B2" s="1116" t="s">
        <v>185</v>
      </c>
      <c r="C2" s="1090"/>
      <c r="D2" s="1090"/>
      <c r="E2" s="74"/>
      <c r="F2"/>
      <c r="G2" s="1067" t="s">
        <v>117</v>
      </c>
      <c r="H2" s="1108"/>
      <c r="I2" s="1108"/>
      <c r="J2" s="1108"/>
      <c r="K2" s="1108"/>
      <c r="L2" s="1108"/>
      <c r="M2" s="1068"/>
      <c r="Q2"/>
      <c r="R2" s="1109" t="s">
        <v>118</v>
      </c>
      <c r="S2" s="1110"/>
      <c r="T2" s="1110"/>
      <c r="U2" s="1110"/>
      <c r="V2" s="1110"/>
      <c r="W2" s="1110"/>
      <c r="X2" s="1110"/>
      <c r="Y2" s="1111"/>
      <c r="AB2"/>
      <c r="AC2" s="1109" t="s">
        <v>118</v>
      </c>
      <c r="AD2" s="1110"/>
      <c r="AE2" s="1110"/>
      <c r="AF2" s="1110"/>
      <c r="AG2" s="1110"/>
      <c r="AH2" s="1110"/>
      <c r="AI2" s="1110"/>
      <c r="AJ2" s="1111"/>
      <c r="AK2" s="48"/>
      <c r="AL2" s="48"/>
    </row>
    <row r="3" spans="1:129" ht="37.5" customHeight="1" thickBot="1" x14ac:dyDescent="0.25">
      <c r="D3" s="75"/>
      <c r="E3" s="128"/>
      <c r="F3"/>
      <c r="G3" s="1067" t="s">
        <v>129</v>
      </c>
      <c r="H3" s="1108"/>
      <c r="I3" s="1108"/>
      <c r="J3" s="1108"/>
      <c r="K3" s="1108"/>
      <c r="L3" s="1108"/>
      <c r="M3" s="1108"/>
      <c r="N3" s="727"/>
      <c r="O3" s="74"/>
      <c r="Q3"/>
      <c r="R3" s="1109" t="s">
        <v>130</v>
      </c>
      <c r="S3" s="1110"/>
      <c r="T3" s="1110"/>
      <c r="U3" s="1110"/>
      <c r="V3" s="1110"/>
      <c r="W3" s="1110"/>
      <c r="X3" s="1110"/>
      <c r="Y3" s="1111"/>
      <c r="AB3"/>
      <c r="AC3" s="1109" t="s">
        <v>131</v>
      </c>
      <c r="AD3" s="1110"/>
      <c r="AE3" s="1110"/>
      <c r="AF3" s="1110"/>
      <c r="AG3" s="1110"/>
      <c r="AH3" s="1110"/>
      <c r="AI3" s="1110"/>
      <c r="AJ3" s="1111"/>
      <c r="AK3" s="48"/>
      <c r="AL3" s="48"/>
    </row>
    <row r="4" spans="1:129" s="2" customFormat="1" ht="85.5" customHeight="1" thickBot="1" x14ac:dyDescent="0.25">
      <c r="A4" s="19"/>
      <c r="B4" s="11" t="s">
        <v>1</v>
      </c>
      <c r="C4" s="1067" t="s">
        <v>4</v>
      </c>
      <c r="D4" s="1068"/>
      <c r="E4" s="11" t="s">
        <v>87</v>
      </c>
      <c r="F4" s="51" t="s">
        <v>135</v>
      </c>
      <c r="G4" s="23" t="s">
        <v>109</v>
      </c>
      <c r="H4" s="24" t="s">
        <v>110</v>
      </c>
      <c r="I4" s="112" t="s">
        <v>111</v>
      </c>
      <c r="J4" s="24" t="s">
        <v>112</v>
      </c>
      <c r="K4" s="24" t="s">
        <v>113</v>
      </c>
      <c r="L4" s="24" t="s">
        <v>114</v>
      </c>
      <c r="M4" s="25" t="s">
        <v>32</v>
      </c>
      <c r="N4" s="212"/>
      <c r="O4"/>
      <c r="P4" s="51" t="s">
        <v>91</v>
      </c>
      <c r="Q4" s="51" t="s">
        <v>135</v>
      </c>
      <c r="R4" s="76" t="s">
        <v>115</v>
      </c>
      <c r="S4" s="77" t="s">
        <v>110</v>
      </c>
      <c r="T4" s="77" t="s">
        <v>116</v>
      </c>
      <c r="U4" s="77" t="s">
        <v>112</v>
      </c>
      <c r="V4" s="77" t="s">
        <v>113</v>
      </c>
      <c r="W4" s="78" t="s">
        <v>82</v>
      </c>
      <c r="X4" s="1114" t="s">
        <v>32</v>
      </c>
      <c r="Y4" s="1115"/>
      <c r="Z4" s="123"/>
      <c r="AA4" s="123"/>
      <c r="AB4" s="51" t="s">
        <v>135</v>
      </c>
      <c r="AC4" s="76" t="s">
        <v>115</v>
      </c>
      <c r="AD4" s="77" t="s">
        <v>110</v>
      </c>
      <c r="AE4" s="77" t="s">
        <v>116</v>
      </c>
      <c r="AF4" s="77" t="s">
        <v>112</v>
      </c>
      <c r="AG4" s="77" t="s">
        <v>113</v>
      </c>
      <c r="AH4" s="78" t="s">
        <v>82</v>
      </c>
      <c r="AI4" s="1114" t="s">
        <v>32</v>
      </c>
      <c r="AJ4" s="1115"/>
      <c r="AK4" s="431" t="s">
        <v>133</v>
      </c>
      <c r="AL4" s="439" t="s">
        <v>134</v>
      </c>
      <c r="AM4" s="123"/>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c r="DR4" s="17"/>
      <c r="DS4" s="17"/>
      <c r="DT4" s="17"/>
      <c r="DU4" s="17"/>
      <c r="DV4" s="17"/>
      <c r="DW4" s="17"/>
      <c r="DX4" s="17"/>
      <c r="DY4" s="17"/>
    </row>
    <row r="5" spans="1:129" s="2" customFormat="1" ht="13.5" thickBot="1" x14ac:dyDescent="0.25">
      <c r="A5" s="19"/>
      <c r="B5" s="12"/>
      <c r="C5" s="1118" t="s">
        <v>88</v>
      </c>
      <c r="D5" s="1119"/>
      <c r="E5" s="20"/>
      <c r="F5" s="50"/>
      <c r="G5" s="70">
        <v>1</v>
      </c>
      <c r="H5" s="71">
        <f>6.82*44/12</f>
        <v>25.006666666666671</v>
      </c>
      <c r="I5" s="21"/>
      <c r="J5" s="71">
        <f>4036*44/12</f>
        <v>14798.666666666666</v>
      </c>
      <c r="K5" s="71">
        <f>6218*44/12</f>
        <v>22799.333333333332</v>
      </c>
      <c r="L5" s="21"/>
      <c r="M5" s="22"/>
      <c r="N5" s="212"/>
      <c r="O5"/>
      <c r="P5" s="50"/>
      <c r="Q5" s="50"/>
      <c r="R5" s="70">
        <v>1</v>
      </c>
      <c r="S5" s="71">
        <f>6.82*44/12</f>
        <v>25.006666666666671</v>
      </c>
      <c r="T5" s="21"/>
      <c r="U5" s="71">
        <f>4036*44/12</f>
        <v>14798.666666666666</v>
      </c>
      <c r="V5" s="71">
        <f>6218*44/12</f>
        <v>22799.333333333332</v>
      </c>
      <c r="W5" s="440"/>
      <c r="X5" s="441"/>
      <c r="Y5" s="442"/>
      <c r="Z5" s="38"/>
      <c r="AA5" s="38"/>
      <c r="AB5" s="50"/>
      <c r="AC5" s="70">
        <v>1</v>
      </c>
      <c r="AD5" s="71">
        <f>6.82*44/12</f>
        <v>25.006666666666671</v>
      </c>
      <c r="AE5" s="21"/>
      <c r="AF5" s="71">
        <f>4036*44/12</f>
        <v>14798.666666666666</v>
      </c>
      <c r="AG5" s="71">
        <f>6218*44/12</f>
        <v>22799.333333333332</v>
      </c>
      <c r="AH5" s="440"/>
      <c r="AI5" s="441"/>
      <c r="AJ5" s="442"/>
      <c r="AK5" s="443"/>
      <c r="AL5" s="443"/>
      <c r="AM5" s="38"/>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row>
    <row r="6" spans="1:129" s="2" customFormat="1" ht="13.5" thickBot="1" x14ac:dyDescent="0.25">
      <c r="A6" s="19"/>
      <c r="B6" s="12"/>
      <c r="C6" s="1120" t="s">
        <v>89</v>
      </c>
      <c r="D6" s="1121"/>
      <c r="E6" s="199"/>
      <c r="F6" s="63"/>
      <c r="G6" s="72">
        <v>1</v>
      </c>
      <c r="H6" s="73">
        <v>30</v>
      </c>
      <c r="I6" s="73">
        <v>265</v>
      </c>
      <c r="J6" s="73">
        <v>13856</v>
      </c>
      <c r="K6" s="73">
        <v>26087</v>
      </c>
      <c r="L6" s="68"/>
      <c r="M6" s="69"/>
      <c r="N6" s="212"/>
      <c r="O6"/>
      <c r="P6" s="63"/>
      <c r="Q6" s="63"/>
      <c r="R6" s="72">
        <v>1</v>
      </c>
      <c r="S6" s="73">
        <v>30</v>
      </c>
      <c r="T6" s="73">
        <v>265</v>
      </c>
      <c r="U6" s="73">
        <v>13856</v>
      </c>
      <c r="V6" s="73">
        <v>26087</v>
      </c>
      <c r="W6" s="444"/>
      <c r="X6" s="445"/>
      <c r="Y6" s="446"/>
      <c r="Z6" s="38"/>
      <c r="AA6" s="38"/>
      <c r="AB6" s="63"/>
      <c r="AC6" s="72">
        <v>1</v>
      </c>
      <c r="AD6" s="73">
        <v>30</v>
      </c>
      <c r="AE6" s="73">
        <v>265</v>
      </c>
      <c r="AF6" s="73">
        <v>13856</v>
      </c>
      <c r="AG6" s="73">
        <v>26087</v>
      </c>
      <c r="AH6" s="444"/>
      <c r="AI6" s="445"/>
      <c r="AJ6" s="446"/>
      <c r="AK6" s="447"/>
      <c r="AL6" s="447"/>
      <c r="AM6" s="38"/>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row>
    <row r="7" spans="1:129" s="2" customFormat="1" ht="13.5" thickBot="1" x14ac:dyDescent="0.25">
      <c r="A7" s="19"/>
      <c r="B7" s="12"/>
      <c r="C7" s="1122" t="s">
        <v>128</v>
      </c>
      <c r="D7" s="1123"/>
      <c r="E7" s="456"/>
      <c r="F7" s="457"/>
      <c r="G7" s="458">
        <v>1</v>
      </c>
      <c r="H7" s="458">
        <v>28</v>
      </c>
      <c r="I7" s="458">
        <v>265</v>
      </c>
      <c r="J7" s="458">
        <v>12400</v>
      </c>
      <c r="K7" s="458">
        <v>23500</v>
      </c>
      <c r="L7" s="459"/>
      <c r="M7" s="460"/>
      <c r="N7" s="212"/>
      <c r="O7"/>
      <c r="P7" s="457"/>
      <c r="Q7" s="457"/>
      <c r="R7" s="458">
        <v>1</v>
      </c>
      <c r="S7" s="458">
        <v>28</v>
      </c>
      <c r="T7" s="458">
        <v>265</v>
      </c>
      <c r="U7" s="458">
        <v>12400</v>
      </c>
      <c r="V7" s="458">
        <v>23500</v>
      </c>
      <c r="W7" s="462"/>
      <c r="X7" s="462"/>
      <c r="Y7" s="558"/>
      <c r="Z7" s="38"/>
      <c r="AA7" s="38"/>
      <c r="AB7" s="457"/>
      <c r="AC7" s="458">
        <v>1</v>
      </c>
      <c r="AD7" s="458">
        <v>28</v>
      </c>
      <c r="AE7" s="458">
        <v>265</v>
      </c>
      <c r="AF7" s="458">
        <v>12400</v>
      </c>
      <c r="AG7" s="458">
        <v>23500</v>
      </c>
      <c r="AH7" s="462"/>
      <c r="AI7" s="461"/>
      <c r="AJ7" s="463"/>
      <c r="AK7" s="464"/>
      <c r="AL7" s="464"/>
      <c r="AM7" s="38"/>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row>
    <row r="8" spans="1:129" s="4" customFormat="1" x14ac:dyDescent="0.2">
      <c r="A8" s="19"/>
      <c r="B8" s="1074" t="s">
        <v>3</v>
      </c>
      <c r="C8" s="1085" t="s">
        <v>12</v>
      </c>
      <c r="D8" s="1086"/>
      <c r="E8" s="465">
        <f>(0.234/1000-$E$36)/1.11</f>
        <v>1.8660287707061903E-4</v>
      </c>
      <c r="F8" s="448">
        <f>0.185/1000</f>
        <v>1.85E-4</v>
      </c>
      <c r="G8" s="315">
        <f>'Données de consommation'!E8*'Emissions 2010_2014_2017'!$F8</f>
        <v>594.80940999999996</v>
      </c>
      <c r="H8" s="316"/>
      <c r="I8" s="317"/>
      <c r="J8" s="317"/>
      <c r="K8" s="318"/>
      <c r="L8" s="319">
        <f t="shared" ref="L8:L15" si="0">SUM(G$7*G8+H$7*H8+I$7*I8+J$7*J8+K$7*K8)</f>
        <v>594.80940999999996</v>
      </c>
      <c r="M8" s="320">
        <f>0.05*'Emissions 2010_2014_2017'!$L8</f>
        <v>29.740470500000001</v>
      </c>
      <c r="N8" s="212"/>
      <c r="O8" s="212"/>
      <c r="P8" s="67">
        <f>0.184/1000</f>
        <v>1.84E-4</v>
      </c>
      <c r="Q8" s="448">
        <f>0.185/1000</f>
        <v>1.85E-4</v>
      </c>
      <c r="R8" s="234">
        <f>'Données de consommation'!H8*'Emissions 2010_2014_2017'!Q8</f>
        <v>407.36851999999999</v>
      </c>
      <c r="S8" s="238"/>
      <c r="T8" s="238"/>
      <c r="U8" s="238"/>
      <c r="V8" s="205"/>
      <c r="W8" s="279">
        <f>SUM(R$7*R8+S$7*S8+T$7*T8+U$7*U8+V$7*V8)</f>
        <v>407.36851999999999</v>
      </c>
      <c r="X8" s="83">
        <v>0.05</v>
      </c>
      <c r="Y8" s="320">
        <f>0.05*'Emissions 2010_2014_2017'!$W8</f>
        <v>20.368425999999999</v>
      </c>
      <c r="Z8" s="19"/>
      <c r="AA8" s="19"/>
      <c r="AB8" s="448">
        <f>0.185/1000</f>
        <v>1.85E-4</v>
      </c>
      <c r="AC8" s="234">
        <f>'Données de consommation'!K8*'Emissions 2010_2014_2017'!AB8</f>
        <v>523.92925000000002</v>
      </c>
      <c r="AD8" s="238"/>
      <c r="AE8" s="238"/>
      <c r="AF8" s="238"/>
      <c r="AG8" s="205"/>
      <c r="AH8" s="279">
        <f>SUM(AC$7*AC8+AD$7*AD8+AE$7*AE8+AF$7*AF8+AG$7*AG8)</f>
        <v>523.92925000000002</v>
      </c>
      <c r="AI8" s="562">
        <v>0.05</v>
      </c>
      <c r="AJ8" s="320">
        <f>0.05*'Emissions 2010_2014_2017'!$AH8</f>
        <v>26.196462500000003</v>
      </c>
      <c r="AK8" s="125">
        <f>$AH8-$L8</f>
        <v>-70.880159999999933</v>
      </c>
      <c r="AL8" s="125">
        <f t="shared" ref="AL8:AL26" si="1">$AH8-$W8</f>
        <v>116.56073000000004</v>
      </c>
      <c r="AM8" s="19"/>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row>
    <row r="9" spans="1:129" s="4" customFormat="1" x14ac:dyDescent="0.2">
      <c r="A9" s="19"/>
      <c r="B9" s="1075"/>
      <c r="C9" s="1047" t="s">
        <v>13</v>
      </c>
      <c r="D9" s="1048"/>
      <c r="E9" s="466">
        <f>(0.234/1000-$E$36)/1.11</f>
        <v>1.8660287707061903E-4</v>
      </c>
      <c r="F9" s="450">
        <f>0.185/1000</f>
        <v>1.85E-4</v>
      </c>
      <c r="G9" s="321">
        <f>'Données de consommation'!E9*'Emissions 2010_2014_2017'!$F9</f>
        <v>493.11527999999998</v>
      </c>
      <c r="H9" s="322"/>
      <c r="I9" s="323"/>
      <c r="J9" s="323"/>
      <c r="K9" s="324"/>
      <c r="L9" s="325">
        <f t="shared" si="0"/>
        <v>493.11527999999998</v>
      </c>
      <c r="M9" s="326">
        <f>0.05*'Emissions 2010_2014_2017'!$L9</f>
        <v>24.655764000000001</v>
      </c>
      <c r="N9" s="212"/>
      <c r="O9"/>
      <c r="P9" s="62">
        <f>0.184/1000</f>
        <v>1.84E-4</v>
      </c>
      <c r="Q9" s="450">
        <f>0.185/1000</f>
        <v>1.85E-4</v>
      </c>
      <c r="R9" s="231">
        <f>'Données de consommation'!H9*'Emissions 2010_2014_2017'!Q9</f>
        <v>346.36273499999999</v>
      </c>
      <c r="S9" s="42"/>
      <c r="T9" s="42"/>
      <c r="U9" s="42"/>
      <c r="V9" s="57"/>
      <c r="W9" s="280">
        <f t="shared" ref="W9:W24" si="2">SUM(R$7*R9+S$7*S9+T$7*T9+U$7*U9+V$7*V9)</f>
        <v>346.36273499999999</v>
      </c>
      <c r="X9" s="82">
        <v>0.05</v>
      </c>
      <c r="Y9" s="326">
        <f>0.05*'Emissions 2010_2014_2017'!$W9</f>
        <v>17.318136750000001</v>
      </c>
      <c r="Z9" s="19"/>
      <c r="AA9" s="19"/>
      <c r="AB9" s="450">
        <f>0.185/1000</f>
        <v>1.85E-4</v>
      </c>
      <c r="AC9" s="231">
        <f>'Données de consommation'!K9*'Emissions 2010_2014_2017'!AB9</f>
        <v>455.91030000000001</v>
      </c>
      <c r="AD9" s="42"/>
      <c r="AE9" s="42"/>
      <c r="AF9" s="42"/>
      <c r="AG9" s="57"/>
      <c r="AH9" s="280">
        <f t="shared" ref="AH9:AH25" si="3">SUM(AC$7*AC9+AD$7*AD9+AE$7*AE9+AF$7*AF9+AG$7*AG9)</f>
        <v>455.91030000000001</v>
      </c>
      <c r="AI9" s="563">
        <v>0.05</v>
      </c>
      <c r="AJ9" s="326">
        <f>0.05*'Emissions 2010_2014_2017'!$AH9</f>
        <v>22.795515000000002</v>
      </c>
      <c r="AK9" s="125">
        <f t="shared" ref="AK9:AK24" si="4">$AH9-$L9</f>
        <v>-37.204979999999978</v>
      </c>
      <c r="AL9" s="601">
        <f t="shared" si="1"/>
        <v>109.54756500000002</v>
      </c>
      <c r="AM9" s="19"/>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row>
    <row r="10" spans="1:129" s="4" customFormat="1" x14ac:dyDescent="0.2">
      <c r="A10" s="19"/>
      <c r="B10" s="1075"/>
      <c r="C10" s="1047" t="s">
        <v>34</v>
      </c>
      <c r="D10" s="1048"/>
      <c r="E10" s="468">
        <f>0.725931818181818*44/12000</f>
        <v>2.6617499999999992E-3</v>
      </c>
      <c r="F10" s="449">
        <f>2.51/1000</f>
        <v>2.5099999999999996E-3</v>
      </c>
      <c r="G10" s="327">
        <f>'Données de consommation'!E10*'Emissions 2010_2014_2017'!$F10</f>
        <v>50.330519999999993</v>
      </c>
      <c r="H10" s="322"/>
      <c r="I10" s="323"/>
      <c r="J10" s="323"/>
      <c r="K10" s="324"/>
      <c r="L10" s="325">
        <f t="shared" si="0"/>
        <v>50.330519999999993</v>
      </c>
      <c r="M10" s="328">
        <f>0.05*'Emissions 2010_2014_2017'!$L10</f>
        <v>2.5165259999999998</v>
      </c>
      <c r="N10" s="212"/>
      <c r="O10"/>
      <c r="P10" s="62">
        <f>2.52/1000</f>
        <v>2.5200000000000001E-3</v>
      </c>
      <c r="Q10" s="449">
        <f>2.51/1000</f>
        <v>2.5099999999999996E-3</v>
      </c>
      <c r="R10" s="231">
        <f>'Données de consommation'!H10*'Emissions 2010_2014_2017'!Q10</f>
        <v>39.924561999999995</v>
      </c>
      <c r="S10" s="42"/>
      <c r="T10" s="42"/>
      <c r="U10" s="42"/>
      <c r="V10" s="57"/>
      <c r="W10" s="280">
        <f t="shared" si="2"/>
        <v>39.924561999999995</v>
      </c>
      <c r="X10" s="82">
        <v>0.1</v>
      </c>
      <c r="Y10" s="328">
        <f>0.05*'Emissions 2010_2014_2017'!$W10</f>
        <v>1.9962280999999997</v>
      </c>
      <c r="Z10" s="19"/>
      <c r="AA10" s="19"/>
      <c r="AB10" s="449">
        <f>2.51/1000</f>
        <v>2.5099999999999996E-3</v>
      </c>
      <c r="AC10" s="231">
        <f>'Données de consommation'!K10*'Emissions 2010_2014_2017'!AB10</f>
        <v>32.022956499999992</v>
      </c>
      <c r="AD10" s="42"/>
      <c r="AE10" s="42"/>
      <c r="AF10" s="42"/>
      <c r="AG10" s="57"/>
      <c r="AH10" s="280">
        <f t="shared" si="3"/>
        <v>32.022956499999992</v>
      </c>
      <c r="AI10" s="563">
        <v>0.1</v>
      </c>
      <c r="AJ10" s="328">
        <f>0.05*'Emissions 2010_2014_2017'!$AH10</f>
        <v>1.6011478249999997</v>
      </c>
      <c r="AK10" s="125">
        <f t="shared" si="4"/>
        <v>-18.307563500000001</v>
      </c>
      <c r="AL10" s="601">
        <f t="shared" si="1"/>
        <v>-7.9016055000000023</v>
      </c>
      <c r="AM10" s="19"/>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row>
    <row r="11" spans="1:129" s="4" customFormat="1" x14ac:dyDescent="0.2">
      <c r="A11" s="19"/>
      <c r="B11" s="1075"/>
      <c r="C11" s="1087" t="s">
        <v>15</v>
      </c>
      <c r="D11" s="1088"/>
      <c r="E11" s="467">
        <f>0.66138*44/12000</f>
        <v>2.4250599999999997E-3</v>
      </c>
      <c r="F11" s="449">
        <f>2.28/1000</f>
        <v>2.2799999999999999E-3</v>
      </c>
      <c r="G11" s="322">
        <f>'Données de consommation'!E11*'Emissions 2010_2014_2017'!$F11</f>
        <v>1.6806563999999999</v>
      </c>
      <c r="H11" s="322"/>
      <c r="I11" s="323"/>
      <c r="J11" s="323"/>
      <c r="K11" s="324"/>
      <c r="L11" s="351">
        <f t="shared" si="0"/>
        <v>1.6806563999999999</v>
      </c>
      <c r="M11" s="522">
        <f>0.1*'Emissions 2010_2014_2017'!$L11</f>
        <v>0.16806564000000002</v>
      </c>
      <c r="N11" s="212"/>
      <c r="O11"/>
      <c r="P11" s="62">
        <f>2.26/1000</f>
        <v>2.2599999999999999E-3</v>
      </c>
      <c r="Q11" s="449">
        <f>2.28/1000</f>
        <v>2.2799999999999999E-3</v>
      </c>
      <c r="R11" s="82">
        <f>'Données de consommation'!H11*'Emissions 2010_2014_2017'!Q11</f>
        <v>2.2800000000000001E-2</v>
      </c>
      <c r="S11" s="42"/>
      <c r="T11" s="42"/>
      <c r="U11" s="42"/>
      <c r="V11" s="57"/>
      <c r="W11" s="281">
        <f t="shared" si="2"/>
        <v>2.2800000000000001E-2</v>
      </c>
      <c r="X11" s="82">
        <v>0.1</v>
      </c>
      <c r="Y11" s="522">
        <f>0.1*'Emissions 2010_2014_2017'!$W11</f>
        <v>2.2800000000000003E-3</v>
      </c>
      <c r="Z11" s="19"/>
      <c r="AA11" s="19"/>
      <c r="AB11" s="449">
        <f>2.28/1000</f>
        <v>2.2799999999999999E-3</v>
      </c>
      <c r="AC11" s="82">
        <f>'Données de consommation'!K11*'Emissions 2010_2014_2017'!AB11</f>
        <v>1.36572E-2</v>
      </c>
      <c r="AD11" s="42"/>
      <c r="AE11" s="42"/>
      <c r="AF11" s="42"/>
      <c r="AG11" s="57"/>
      <c r="AH11" s="281">
        <f t="shared" si="3"/>
        <v>1.36572E-2</v>
      </c>
      <c r="AI11" s="563">
        <v>0.1</v>
      </c>
      <c r="AJ11" s="522">
        <f>0.1*'Emissions 2010_2014_2017'!$AH11</f>
        <v>1.36572E-3</v>
      </c>
      <c r="AK11" s="125">
        <f t="shared" si="4"/>
        <v>-1.6669992</v>
      </c>
      <c r="AL11" s="601">
        <f t="shared" si="1"/>
        <v>-9.1428000000000013E-3</v>
      </c>
      <c r="AM11" s="19"/>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row>
    <row r="12" spans="1:129" s="4" customFormat="1" ht="29.25" customHeight="1" x14ac:dyDescent="0.2">
      <c r="A12" s="19"/>
      <c r="B12" s="1075"/>
      <c r="C12" s="1101" t="s">
        <v>121</v>
      </c>
      <c r="D12" s="1102"/>
      <c r="E12" s="468">
        <f>0.0375/1000</f>
        <v>3.7499999999999997E-5</v>
      </c>
      <c r="F12" s="450">
        <f>0.3/1000</f>
        <v>2.9999999999999997E-4</v>
      </c>
      <c r="G12" s="329">
        <f>'Données de consommation'!E12*'Emissions 2010_2014_2017'!F12</f>
        <v>0.17849999999999999</v>
      </c>
      <c r="H12" s="322"/>
      <c r="I12" s="323"/>
      <c r="J12" s="323"/>
      <c r="K12" s="324"/>
      <c r="L12" s="330">
        <f t="shared" si="0"/>
        <v>0.17849999999999999</v>
      </c>
      <c r="M12" s="522">
        <f>0.5*'Emissions 2010_2014_2017'!$L12</f>
        <v>8.9249999999999996E-2</v>
      </c>
      <c r="N12" s="525"/>
      <c r="O12" s="521"/>
      <c r="P12" s="61">
        <f>0.3/1000</f>
        <v>2.9999999999999997E-4</v>
      </c>
      <c r="Q12" s="450">
        <f>0.3/1000</f>
        <v>2.9999999999999997E-4</v>
      </c>
      <c r="R12" s="82">
        <f>'Données de consommation'!H12*'Emissions 2010_2014_2017'!Q12</f>
        <v>0.17849999999999999</v>
      </c>
      <c r="S12" s="42"/>
      <c r="T12" s="42"/>
      <c r="U12" s="42"/>
      <c r="V12" s="57"/>
      <c r="W12" s="281">
        <f t="shared" si="2"/>
        <v>0.17849999999999999</v>
      </c>
      <c r="X12" s="82">
        <v>0.5</v>
      </c>
      <c r="Y12" s="522">
        <f>0.5*'Emissions 2010_2014_2017'!$W12</f>
        <v>8.9249999999999996E-2</v>
      </c>
      <c r="Z12" s="19"/>
      <c r="AA12" s="19"/>
      <c r="AB12" s="450">
        <f>0.3/1000</f>
        <v>2.9999999999999997E-4</v>
      </c>
      <c r="AC12" s="82">
        <f>'Données de consommation'!K12*'Emissions 2010_2014_2017'!AB12</f>
        <v>0.17849999999999999</v>
      </c>
      <c r="AD12" s="42"/>
      <c r="AE12" s="42"/>
      <c r="AF12" s="42"/>
      <c r="AG12" s="57"/>
      <c r="AH12" s="281">
        <f t="shared" si="3"/>
        <v>0.17849999999999999</v>
      </c>
      <c r="AI12" s="563">
        <v>0.5</v>
      </c>
      <c r="AJ12" s="522">
        <f>0.5*'Emissions 2010_2014_2017'!$AH12</f>
        <v>8.9249999999999996E-2</v>
      </c>
      <c r="AK12" s="125">
        <f t="shared" si="4"/>
        <v>0</v>
      </c>
      <c r="AL12" s="601">
        <f t="shared" si="1"/>
        <v>0</v>
      </c>
      <c r="AM12" s="19"/>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row>
    <row r="13" spans="1:129" s="4" customFormat="1" ht="24.75" customHeight="1" x14ac:dyDescent="0.2">
      <c r="A13" s="19"/>
      <c r="B13" s="1075"/>
      <c r="C13" s="1101" t="s">
        <v>147</v>
      </c>
      <c r="D13" s="1102"/>
      <c r="E13" s="468">
        <f>0.03/1000</f>
        <v>2.9999999999999997E-5</v>
      </c>
      <c r="F13" s="450">
        <f>9/1000</f>
        <v>8.9999999999999993E-3</v>
      </c>
      <c r="G13" s="331">
        <f>'Données de consommation'!E13*'Emissions 2010_2014_2017'!F13</f>
        <v>0.89999999999999991</v>
      </c>
      <c r="H13" s="322"/>
      <c r="I13" s="323"/>
      <c r="J13" s="323"/>
      <c r="K13" s="324"/>
      <c r="L13" s="330">
        <f t="shared" si="0"/>
        <v>0.89999999999999991</v>
      </c>
      <c r="M13" s="522">
        <f>0.5*'Emissions 2010_2014_2017'!$L13</f>
        <v>0.44999999999999996</v>
      </c>
      <c r="N13" s="525"/>
      <c r="O13" s="521"/>
      <c r="P13" s="62">
        <f>9/1000</f>
        <v>8.9999999999999993E-3</v>
      </c>
      <c r="Q13" s="450">
        <f>9/1000</f>
        <v>8.9999999999999993E-3</v>
      </c>
      <c r="R13" s="82">
        <f>'Données de consommation'!H13*'Emissions 2010_2014_2017'!Q13</f>
        <v>0.80910000000000004</v>
      </c>
      <c r="S13" s="42"/>
      <c r="T13" s="42"/>
      <c r="U13" s="42"/>
      <c r="V13" s="57"/>
      <c r="W13" s="281">
        <f t="shared" si="2"/>
        <v>0.80910000000000004</v>
      </c>
      <c r="X13" s="82">
        <v>0.5</v>
      </c>
      <c r="Y13" s="522">
        <f>0.5*'Emissions 2010_2014_2017'!$W13</f>
        <v>0.40455000000000002</v>
      </c>
      <c r="Z13" s="111"/>
      <c r="AA13" s="111"/>
      <c r="AB13" s="450">
        <f>9/1000</f>
        <v>8.9999999999999993E-3</v>
      </c>
      <c r="AC13" s="82">
        <f>'Données de consommation'!K13*'Emissions 2010_2014_2017'!AB13</f>
        <v>1.2104999999999999</v>
      </c>
      <c r="AD13" s="42"/>
      <c r="AE13" s="42"/>
      <c r="AF13" s="42"/>
      <c r="AG13" s="57"/>
      <c r="AH13" s="281">
        <f t="shared" si="3"/>
        <v>1.2104999999999999</v>
      </c>
      <c r="AI13" s="563">
        <v>0.5</v>
      </c>
      <c r="AJ13" s="522">
        <f>0.5*'Emissions 2010_2014_2017'!$AH13</f>
        <v>0.60524999999999995</v>
      </c>
      <c r="AK13" s="125">
        <f t="shared" si="4"/>
        <v>0.3105</v>
      </c>
      <c r="AL13" s="601">
        <f t="shared" si="1"/>
        <v>0.40139999999999987</v>
      </c>
      <c r="AM13" s="111"/>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row>
    <row r="14" spans="1:129" s="4" customFormat="1" ht="27" customHeight="1" x14ac:dyDescent="0.2">
      <c r="A14" s="19"/>
      <c r="B14" s="1075"/>
      <c r="C14" s="1101" t="s">
        <v>80</v>
      </c>
      <c r="D14" s="1102"/>
      <c r="E14" s="468">
        <f>0.03/1000</f>
        <v>2.9999999999999997E-5</v>
      </c>
      <c r="F14" s="450">
        <f>9/1000</f>
        <v>8.9999999999999993E-3</v>
      </c>
      <c r="G14" s="327">
        <f>'Données de consommation'!E14*'Emissions 2010_2014_2017'!F14</f>
        <v>15.582599999999999</v>
      </c>
      <c r="H14" s="322"/>
      <c r="I14" s="323"/>
      <c r="J14" s="323"/>
      <c r="K14" s="324"/>
      <c r="L14" s="351">
        <f t="shared" si="0"/>
        <v>15.582599999999999</v>
      </c>
      <c r="M14" s="522">
        <f>0.5*'Emissions 2010_2014_2017'!$L14</f>
        <v>7.7912999999999997</v>
      </c>
      <c r="N14" s="525"/>
      <c r="O14" s="521"/>
      <c r="P14" s="62">
        <f>9/1000</f>
        <v>8.9999999999999993E-3</v>
      </c>
      <c r="Q14" s="450">
        <f>9/1000</f>
        <v>8.9999999999999993E-3</v>
      </c>
      <c r="R14" s="82">
        <f>'Données de consommation'!H14*'Emissions 2010_2014_2017'!Q14</f>
        <v>15.137999999999998</v>
      </c>
      <c r="S14" s="42"/>
      <c r="T14" s="42"/>
      <c r="U14" s="42"/>
      <c r="V14" s="57"/>
      <c r="W14" s="561">
        <f t="shared" si="2"/>
        <v>15.137999999999998</v>
      </c>
      <c r="X14" s="82">
        <v>0.5</v>
      </c>
      <c r="Y14" s="522">
        <f>0.5*'Emissions 2010_2014_2017'!$W14</f>
        <v>7.5689999999999991</v>
      </c>
      <c r="Z14" s="19"/>
      <c r="AA14" s="19"/>
      <c r="AB14" s="450">
        <f>9/1000</f>
        <v>8.9999999999999993E-3</v>
      </c>
      <c r="AC14" s="82">
        <f>'Données de consommation'!K14*'Emissions 2010_2014_2017'!AB14</f>
        <v>10.2951</v>
      </c>
      <c r="AD14" s="42"/>
      <c r="AE14" s="42"/>
      <c r="AF14" s="42"/>
      <c r="AG14" s="57"/>
      <c r="AH14" s="280">
        <f t="shared" si="3"/>
        <v>10.2951</v>
      </c>
      <c r="AI14" s="563">
        <v>0.5</v>
      </c>
      <c r="AJ14" s="522">
        <f>0.5*'Emissions 2010_2014_2017'!$AH14</f>
        <v>5.1475499999999998</v>
      </c>
      <c r="AK14" s="125">
        <f t="shared" si="4"/>
        <v>-5.2874999999999996</v>
      </c>
      <c r="AL14" s="601">
        <f t="shared" si="1"/>
        <v>-4.8428999999999984</v>
      </c>
      <c r="AM14" s="19"/>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row>
    <row r="15" spans="1:129" s="4" customFormat="1" ht="26.25" customHeight="1" x14ac:dyDescent="0.2">
      <c r="A15" s="19"/>
      <c r="B15" s="1075"/>
      <c r="C15" s="1047" t="s">
        <v>55</v>
      </c>
      <c r="D15" s="1048"/>
      <c r="E15" s="90"/>
      <c r="F15" s="90"/>
      <c r="G15" s="332"/>
      <c r="H15" s="333"/>
      <c r="I15" s="333"/>
      <c r="J15" s="333"/>
      <c r="K15" s="334">
        <f>'Données de consommation'!E15/1000</f>
        <v>2.6099999999999999E-3</v>
      </c>
      <c r="L15" s="325">
        <f t="shared" si="0"/>
        <v>61.335000000000001</v>
      </c>
      <c r="M15" s="326">
        <f>0.3*'Emissions 2010_2014_2017'!$L15</f>
        <v>18.400500000000001</v>
      </c>
      <c r="N15" s="212"/>
      <c r="O15"/>
      <c r="P15" s="89"/>
      <c r="Q15" s="90"/>
      <c r="R15" s="49"/>
      <c r="S15" s="42"/>
      <c r="T15" s="42"/>
      <c r="U15" s="42"/>
      <c r="V15" s="284">
        <f>'Données de consommation'!H15/1000</f>
        <v>2.3500000000000001E-3</v>
      </c>
      <c r="W15" s="561">
        <f>SUM(R$7*R15+S$7*S15+T$7*T15+U$7*U15+V$7*V15)</f>
        <v>55.225000000000001</v>
      </c>
      <c r="X15" s="82">
        <v>0.3</v>
      </c>
      <c r="Y15" s="326">
        <f>0.3*'Emissions 2010_2014_2017'!$W15</f>
        <v>16.567499999999999</v>
      </c>
      <c r="Z15" s="19"/>
      <c r="AA15" s="19"/>
      <c r="AB15" s="90"/>
      <c r="AC15" s="49"/>
      <c r="AD15" s="42"/>
      <c r="AE15" s="42"/>
      <c r="AF15" s="42"/>
      <c r="AG15" s="284">
        <f>'Données de consommation'!K15/1000</f>
        <v>2.3500000000000001E-3</v>
      </c>
      <c r="AH15" s="561">
        <f t="shared" si="3"/>
        <v>55.225000000000001</v>
      </c>
      <c r="AI15" s="563">
        <v>0.3</v>
      </c>
      <c r="AJ15" s="522">
        <f>0.3*'Emissions 2010_2014_2017'!$AH15</f>
        <v>16.567499999999999</v>
      </c>
      <c r="AK15" s="125">
        <f t="shared" si="4"/>
        <v>-6.1099999999999994</v>
      </c>
      <c r="AL15" s="601">
        <f t="shared" si="1"/>
        <v>0</v>
      </c>
      <c r="AM15" s="19"/>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row>
    <row r="16" spans="1:129" s="4" customFormat="1" ht="26.25" customHeight="1" x14ac:dyDescent="0.2">
      <c r="A16" s="19"/>
      <c r="B16" s="1075"/>
      <c r="C16" s="1047" t="s">
        <v>54</v>
      </c>
      <c r="D16" s="1048"/>
      <c r="E16" s="91"/>
      <c r="F16" s="90"/>
      <c r="G16" s="332"/>
      <c r="H16" s="333"/>
      <c r="I16" s="333"/>
      <c r="J16" s="335">
        <f>'Données de consommation'!E16/1000</f>
        <v>0</v>
      </c>
      <c r="K16" s="336"/>
      <c r="L16" s="330">
        <f t="shared" ref="L16:L24" si="5">SUM(G$7*G16+H$7*H16+I$7*I16+J$7*J16+K$7*K16)</f>
        <v>0</v>
      </c>
      <c r="M16" s="326">
        <f>0.3*'Emissions 2010_2014_2017'!$L16</f>
        <v>0</v>
      </c>
      <c r="N16" s="212"/>
      <c r="O16"/>
      <c r="P16" s="89"/>
      <c r="Q16" s="90"/>
      <c r="R16" s="49"/>
      <c r="S16" s="42"/>
      <c r="T16" s="42"/>
      <c r="U16" s="122">
        <f>'Données de consommation'!H16/1000</f>
        <v>0</v>
      </c>
      <c r="V16" s="57"/>
      <c r="W16" s="281">
        <f t="shared" si="2"/>
        <v>0</v>
      </c>
      <c r="X16" s="82">
        <v>0.3</v>
      </c>
      <c r="Y16" s="326">
        <f>0.3*'Emissions 2010_2014_2017'!$W16</f>
        <v>0</v>
      </c>
      <c r="Z16" s="19"/>
      <c r="AA16" s="19"/>
      <c r="AB16" s="90"/>
      <c r="AC16" s="49"/>
      <c r="AD16" s="42"/>
      <c r="AE16" s="42"/>
      <c r="AF16" s="122">
        <f>'Données de consommation'!K16/1000</f>
        <v>0</v>
      </c>
      <c r="AG16" s="57"/>
      <c r="AH16" s="281">
        <f t="shared" si="3"/>
        <v>0</v>
      </c>
      <c r="AI16" s="563">
        <v>0.3</v>
      </c>
      <c r="AJ16" s="522">
        <f>0.3*'Emissions 2010_2014_2017'!$AH16</f>
        <v>0</v>
      </c>
      <c r="AK16" s="125">
        <f t="shared" si="4"/>
        <v>0</v>
      </c>
      <c r="AL16" s="601">
        <f t="shared" si="1"/>
        <v>0</v>
      </c>
      <c r="AM16" s="19"/>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row>
    <row r="17" spans="1:129" s="4" customFormat="1" ht="25.5" customHeight="1" x14ac:dyDescent="0.2">
      <c r="A17" s="19"/>
      <c r="B17" s="1075"/>
      <c r="C17" s="1047" t="s">
        <v>53</v>
      </c>
      <c r="D17" s="1048"/>
      <c r="E17" s="468">
        <f>0.771*44/(12*1000)</f>
        <v>2.8270000000000001E-3</v>
      </c>
      <c r="F17" s="449">
        <v>2.7499999999999998E-3</v>
      </c>
      <c r="G17" s="329">
        <f>'Données de consommation'!E17*'Emissions 2010_2014_2017'!F17/2</f>
        <v>1.9648749999999996E-2</v>
      </c>
      <c r="H17" s="337">
        <f>'Données de consommation'!E17/(2*1000)</f>
        <v>7.1449999999999994E-3</v>
      </c>
      <c r="I17" s="333"/>
      <c r="J17" s="333"/>
      <c r="K17" s="336"/>
      <c r="L17" s="330">
        <f>SUM(G$7*G17+H$7*H17+I$7*I17+J$7*J17+K$7*K17)</f>
        <v>0.21970874999999998</v>
      </c>
      <c r="M17" s="522">
        <f>0.3*'Emissions 2010_2014_2017'!$G17+0.3*('Emissions 2010_2014_2017'!$H17*'Emissions 2010_2014_2017'!$H7)</f>
        <v>6.5912624999999989E-2</v>
      </c>
      <c r="N17" s="212"/>
      <c r="O17"/>
      <c r="P17" s="62">
        <v>2.7499999999999998E-3</v>
      </c>
      <c r="Q17" s="449">
        <v>2.7499999999999998E-3</v>
      </c>
      <c r="R17" s="82">
        <f>'Données de consommation'!H17*Q17/2</f>
        <v>2.9906249999999999E-2</v>
      </c>
      <c r="S17" s="127">
        <f>'Données de consommation'!H17/(2*1000)</f>
        <v>1.0874999999999999E-2</v>
      </c>
      <c r="T17" s="42"/>
      <c r="U17" s="42"/>
      <c r="V17" s="57"/>
      <c r="W17" s="281">
        <f t="shared" si="2"/>
        <v>0.33440625000000002</v>
      </c>
      <c r="X17" s="82">
        <v>0.3</v>
      </c>
      <c r="Y17" s="522">
        <f>0.3*'Emissions 2010_2014_2017'!$R17+0.3*('Emissions 2010_2014_2017'!$S17*'Emissions 2010_2014_2017'!$S7)</f>
        <v>0.100321875</v>
      </c>
      <c r="Z17" s="19"/>
      <c r="AA17" s="19"/>
      <c r="AB17" s="449">
        <v>2.7499999999999998E-3</v>
      </c>
      <c r="AC17" s="82">
        <f>'Données de consommation'!K17*AB17/2</f>
        <v>2.0074999999999999E-2</v>
      </c>
      <c r="AD17" s="127">
        <f>'Données de consommation'!K17/(2*1000)</f>
        <v>7.3000000000000001E-3</v>
      </c>
      <c r="AE17" s="42"/>
      <c r="AF17" s="42"/>
      <c r="AG17" s="57"/>
      <c r="AH17" s="281">
        <f t="shared" si="3"/>
        <v>0.22447500000000001</v>
      </c>
      <c r="AI17" s="563">
        <v>0.3</v>
      </c>
      <c r="AJ17" s="522">
        <f>0.3*'Emissions 2010_2014_2017'!$G17+0.3*('Emissions 2010_2014_2017'!$H17*'Emissions 2010_2014_2017'!$H7)</f>
        <v>6.5912624999999989E-2</v>
      </c>
      <c r="AK17" s="125">
        <f t="shared" si="4"/>
        <v>4.7662500000000274E-3</v>
      </c>
      <c r="AL17" s="601">
        <f t="shared" si="1"/>
        <v>-0.10993125000000001</v>
      </c>
      <c r="AM17" s="19"/>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row>
    <row r="18" spans="1:129" s="4" customFormat="1" ht="25.5" customHeight="1" x14ac:dyDescent="0.2">
      <c r="A18" s="19"/>
      <c r="B18" s="1075"/>
      <c r="C18" s="1047" t="s">
        <v>56</v>
      </c>
      <c r="D18" s="1048"/>
      <c r="E18" s="90"/>
      <c r="F18" s="90"/>
      <c r="G18" s="329">
        <f>'Données de consommation'!E18/1000</f>
        <v>0.56000000000000005</v>
      </c>
      <c r="H18" s="333"/>
      <c r="I18" s="333"/>
      <c r="J18" s="333"/>
      <c r="K18" s="336"/>
      <c r="L18" s="330">
        <f t="shared" si="5"/>
        <v>0.56000000000000005</v>
      </c>
      <c r="M18" s="522">
        <f>0.3*'Emissions 2010_2014_2017'!$L18</f>
        <v>0.16800000000000001</v>
      </c>
      <c r="N18" s="212"/>
      <c r="O18"/>
      <c r="P18" s="89"/>
      <c r="Q18" s="90"/>
      <c r="R18" s="49">
        <f>'Données de consommation'!H18/1000</f>
        <v>0.15</v>
      </c>
      <c r="S18" s="42"/>
      <c r="T18" s="42"/>
      <c r="U18" s="42"/>
      <c r="V18" s="57"/>
      <c r="W18" s="281">
        <f t="shared" si="2"/>
        <v>0.15</v>
      </c>
      <c r="X18" s="82">
        <v>0.1</v>
      </c>
      <c r="Y18" s="522">
        <f>0.3*'Emissions 2010_2014_2017'!$W18</f>
        <v>4.4999999999999998E-2</v>
      </c>
      <c r="Z18" s="19"/>
      <c r="AA18" s="19"/>
      <c r="AB18" s="90"/>
      <c r="AC18" s="49">
        <f>'Données de consommation'!K18/1000</f>
        <v>0.29649999999999999</v>
      </c>
      <c r="AD18" s="42"/>
      <c r="AE18" s="42"/>
      <c r="AF18" s="42"/>
      <c r="AG18" s="57"/>
      <c r="AH18" s="281">
        <f t="shared" si="3"/>
        <v>0.29649999999999999</v>
      </c>
      <c r="AI18" s="563">
        <v>0.1</v>
      </c>
      <c r="AJ18" s="522">
        <f>0.3*'Emissions 2010_2014_2017'!$AH18</f>
        <v>8.8949999999999987E-2</v>
      </c>
      <c r="AK18" s="131">
        <f t="shared" si="4"/>
        <v>-0.26350000000000007</v>
      </c>
      <c r="AL18" s="601">
        <f t="shared" si="1"/>
        <v>0.14649999999999999</v>
      </c>
      <c r="AM18" s="19"/>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row>
    <row r="19" spans="1:129" s="4" customFormat="1" ht="27" customHeight="1" thickBot="1" x14ac:dyDescent="0.25">
      <c r="A19" s="19"/>
      <c r="B19" s="1075"/>
      <c r="C19" s="1124" t="s">
        <v>57</v>
      </c>
      <c r="D19" s="1125"/>
      <c r="E19" s="469">
        <f>0.803/1000</f>
        <v>8.03E-4</v>
      </c>
      <c r="F19" s="450">
        <f>3.47/1000</f>
        <v>3.47E-3</v>
      </c>
      <c r="G19" s="338">
        <f>'Données de consommation'!E19*'Emissions 2010_2014_2017'!F19</f>
        <v>0.17002999999999999</v>
      </c>
      <c r="H19" s="339"/>
      <c r="I19" s="339"/>
      <c r="J19" s="339"/>
      <c r="K19" s="340"/>
      <c r="L19" s="341">
        <f t="shared" si="5"/>
        <v>0.17002999999999999</v>
      </c>
      <c r="M19" s="556">
        <f>0.05*'Emissions 2010_2014_2017'!$L19</f>
        <v>8.5015000000000004E-3</v>
      </c>
      <c r="N19" s="212"/>
      <c r="O19"/>
      <c r="P19" s="206">
        <f>0.803/1000</f>
        <v>8.03E-4</v>
      </c>
      <c r="Q19" s="450">
        <f>3.47/1000</f>
        <v>3.47E-3</v>
      </c>
      <c r="R19" s="207">
        <f>'Données de consommation'!H19*'Emissions 2010_2014_2017'!Q19</f>
        <v>8.3279999999999993E-2</v>
      </c>
      <c r="S19" s="208"/>
      <c r="T19" s="208"/>
      <c r="U19" s="208"/>
      <c r="V19" s="285"/>
      <c r="W19" s="288">
        <f t="shared" si="2"/>
        <v>8.3279999999999993E-2</v>
      </c>
      <c r="X19" s="207">
        <v>0.05</v>
      </c>
      <c r="Y19" s="556">
        <f>0.05*'Emissions 2010_2014_2017'!$W19</f>
        <v>4.1640000000000002E-3</v>
      </c>
      <c r="Z19" s="19"/>
      <c r="AA19" s="19"/>
      <c r="AB19" s="450">
        <f>3.47/1000</f>
        <v>3.47E-3</v>
      </c>
      <c r="AC19" s="207">
        <f>'Données de consommation'!K19*'Emissions 2010_2014_2017'!AB19</f>
        <v>0.18043999999999999</v>
      </c>
      <c r="AD19" s="208"/>
      <c r="AE19" s="208"/>
      <c r="AF19" s="208"/>
      <c r="AG19" s="285"/>
      <c r="AH19" s="288">
        <f t="shared" si="3"/>
        <v>0.18043999999999999</v>
      </c>
      <c r="AI19" s="117">
        <v>0.05</v>
      </c>
      <c r="AJ19" s="568">
        <f>0.05*'Emissions 2010_2014_2017'!$AH19</f>
        <v>9.0220000000000005E-3</v>
      </c>
      <c r="AK19" s="569">
        <f t="shared" si="4"/>
        <v>1.0410000000000003E-2</v>
      </c>
      <c r="AL19" s="600">
        <f t="shared" si="1"/>
        <v>9.7159999999999996E-2</v>
      </c>
      <c r="AM19" s="19"/>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row>
    <row r="20" spans="1:129" s="4" customFormat="1" ht="27" customHeight="1" x14ac:dyDescent="0.2">
      <c r="A20" s="19"/>
      <c r="B20" s="1075"/>
      <c r="C20" s="1047" t="s">
        <v>58</v>
      </c>
      <c r="D20" s="1048"/>
      <c r="E20" s="203"/>
      <c r="F20" s="204"/>
      <c r="G20" s="342"/>
      <c r="H20" s="343"/>
      <c r="I20" s="343"/>
      <c r="J20" s="343"/>
      <c r="K20" s="344">
        <f>'Données de consommation'!E20/1000</f>
        <v>2.87E-5</v>
      </c>
      <c r="L20" s="557">
        <f>SUM(G$7*G20+H$7*H20+I$7*I20+J$7*J20+K$7*K20)</f>
        <v>0.67444999999999999</v>
      </c>
      <c r="M20" s="522">
        <f>0.3*'Emissions 2010_2014_2017'!$L20</f>
        <v>0.20233499999999999</v>
      </c>
      <c r="N20" s="212"/>
      <c r="O20"/>
      <c r="P20" s="110"/>
      <c r="Q20" s="204"/>
      <c r="R20" s="250"/>
      <c r="S20" s="238"/>
      <c r="T20" s="238"/>
      <c r="U20" s="238"/>
      <c r="V20" s="205">
        <f>'Données de consommation'!H20/1000</f>
        <v>2.87E-5</v>
      </c>
      <c r="W20" s="281">
        <f t="shared" si="2"/>
        <v>0.67444999999999999</v>
      </c>
      <c r="X20" s="83">
        <v>0.3</v>
      </c>
      <c r="Y20" s="522">
        <f>0.3*'Emissions 2010_2014_2017'!$W20</f>
        <v>0.20233499999999999</v>
      </c>
      <c r="Z20" s="19"/>
      <c r="AA20" s="19"/>
      <c r="AB20" s="204"/>
      <c r="AC20" s="250"/>
      <c r="AD20" s="238"/>
      <c r="AE20" s="238"/>
      <c r="AF20" s="238"/>
      <c r="AG20" s="205">
        <f>'Données de consommation'!K20/1000</f>
        <v>2.87E-5</v>
      </c>
      <c r="AH20" s="280">
        <f t="shared" si="3"/>
        <v>0.67444999999999999</v>
      </c>
      <c r="AI20" s="564">
        <v>0.3</v>
      </c>
      <c r="AJ20" s="522">
        <f>0.3*'Emissions 2010_2014_2017'!$AH20</f>
        <v>0.20233499999999999</v>
      </c>
      <c r="AK20" s="125">
        <f t="shared" si="4"/>
        <v>0</v>
      </c>
      <c r="AL20" s="125">
        <f t="shared" si="1"/>
        <v>0</v>
      </c>
      <c r="AM20" s="19"/>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row>
    <row r="21" spans="1:129" s="4" customFormat="1" ht="27.75" customHeight="1" x14ac:dyDescent="0.2">
      <c r="A21" s="19"/>
      <c r="B21" s="1075"/>
      <c r="C21" s="1047" t="s">
        <v>59</v>
      </c>
      <c r="D21" s="1048"/>
      <c r="E21" s="88"/>
      <c r="F21" s="89"/>
      <c r="G21" s="345"/>
      <c r="H21" s="346"/>
      <c r="I21" s="346"/>
      <c r="J21" s="347">
        <f>'Données de consommation'!E21/1000</f>
        <v>3.1199999999999999E-3</v>
      </c>
      <c r="K21" s="336"/>
      <c r="L21" s="351">
        <f t="shared" si="5"/>
        <v>38.688000000000002</v>
      </c>
      <c r="M21" s="326">
        <f>0.3*'Emissions 2010_2014_2017'!$L21</f>
        <v>11.606400000000001</v>
      </c>
      <c r="N21" s="212"/>
      <c r="O21"/>
      <c r="P21" s="89"/>
      <c r="Q21" s="89"/>
      <c r="R21" s="49"/>
      <c r="S21" s="42"/>
      <c r="T21" s="42"/>
      <c r="U21" s="127">
        <f>'Données de consommation'!H21/1000</f>
        <v>3.1199999999999999E-3</v>
      </c>
      <c r="V21" s="57"/>
      <c r="W21" s="561">
        <f>SUM(R$7*R21+S$7*S21+T$7*T21+U$7*U21+V$7*V21)</f>
        <v>38.688000000000002</v>
      </c>
      <c r="X21" s="82">
        <v>0.3</v>
      </c>
      <c r="Y21" s="326">
        <f>0.3*'Emissions 2010_2014_2017'!$W21</f>
        <v>11.606400000000001</v>
      </c>
      <c r="Z21" s="19"/>
      <c r="AA21" s="19"/>
      <c r="AB21" s="89"/>
      <c r="AC21" s="49"/>
      <c r="AD21" s="42"/>
      <c r="AE21" s="42"/>
      <c r="AF21" s="127">
        <f>'Données de consommation'!K21/1000</f>
        <v>0</v>
      </c>
      <c r="AG21" s="57"/>
      <c r="AH21" s="280">
        <f t="shared" si="3"/>
        <v>0</v>
      </c>
      <c r="AI21" s="563">
        <v>0.3</v>
      </c>
      <c r="AJ21" s="522">
        <f>0.3*'Emissions 2010_2014_2017'!$AH21</f>
        <v>0</v>
      </c>
      <c r="AK21" s="125">
        <f t="shared" si="4"/>
        <v>-38.688000000000002</v>
      </c>
      <c r="AL21" s="125">
        <f t="shared" si="1"/>
        <v>-38.688000000000002</v>
      </c>
      <c r="AM21" s="19"/>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row>
    <row r="22" spans="1:129" s="4" customFormat="1" ht="27" customHeight="1" x14ac:dyDescent="0.2">
      <c r="A22" s="19"/>
      <c r="B22" s="1075"/>
      <c r="C22" s="1047" t="s">
        <v>60</v>
      </c>
      <c r="D22" s="1048"/>
      <c r="E22" s="468">
        <f>0.771*44/(12*1000)</f>
        <v>2.8270000000000001E-3</v>
      </c>
      <c r="F22" s="449">
        <v>2.7499999999999998E-3</v>
      </c>
      <c r="G22" s="348">
        <f>'Données de consommation'!E22*F22/2</f>
        <v>0</v>
      </c>
      <c r="H22" s="349">
        <f>'Données de consommation'!E22/(2*1000)</f>
        <v>0</v>
      </c>
      <c r="I22" s="346"/>
      <c r="J22" s="346"/>
      <c r="K22" s="336"/>
      <c r="L22" s="330">
        <f t="shared" si="5"/>
        <v>0</v>
      </c>
      <c r="M22" s="522">
        <f>0.3*'Emissions 2010_2014_2017'!$G22+0.3*('Emissions 2010_2014_2017'!$H22*'Emissions 2010_2014_2017'!$H7)</f>
        <v>0</v>
      </c>
      <c r="N22" s="212"/>
      <c r="O22"/>
      <c r="P22" s="62">
        <v>2.7499999999999998E-3</v>
      </c>
      <c r="Q22" s="449">
        <v>2.7499999999999998E-3</v>
      </c>
      <c r="R22" s="82">
        <f>'Données de consommation'!H22*Q22/2</f>
        <v>0</v>
      </c>
      <c r="S22" s="42">
        <f>'Données de consommation'!H22/(2*1000)</f>
        <v>0</v>
      </c>
      <c r="T22" s="42"/>
      <c r="U22" s="42"/>
      <c r="V22" s="57"/>
      <c r="W22" s="281">
        <f t="shared" si="2"/>
        <v>0</v>
      </c>
      <c r="X22" s="82">
        <v>0.3</v>
      </c>
      <c r="Y22" s="522">
        <f>0.3*'Emissions 2010_2014_2017'!$R22+0.3*('Emissions 2010_2014_2017'!$S22*'Emissions 2010_2014_2017'!$S7)</f>
        <v>0</v>
      </c>
      <c r="Z22" s="19"/>
      <c r="AA22" s="19"/>
      <c r="AB22" s="449">
        <v>2.7499999999999998E-3</v>
      </c>
      <c r="AC22" s="82">
        <f>'Données de consommation'!K22*AB22/2</f>
        <v>0</v>
      </c>
      <c r="AD22" s="42">
        <f>'Données de consommation'!K22/(2*1000)</f>
        <v>0</v>
      </c>
      <c r="AE22" s="42"/>
      <c r="AF22" s="42"/>
      <c r="AG22" s="57"/>
      <c r="AH22" s="280">
        <f t="shared" si="3"/>
        <v>0</v>
      </c>
      <c r="AI22" s="563">
        <v>0.3</v>
      </c>
      <c r="AJ22" s="522">
        <f>0.3*'Emissions 2010_2014_2017'!$AC22+0.3*('Emissions 2010_2014_2017'!$AD22*'Emissions 2010_2014_2017'!$AD7)</f>
        <v>0</v>
      </c>
      <c r="AK22" s="125">
        <f t="shared" si="4"/>
        <v>0</v>
      </c>
      <c r="AL22" s="125">
        <f t="shared" si="1"/>
        <v>0</v>
      </c>
      <c r="AM22" s="19"/>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row>
    <row r="23" spans="1:129" s="4" customFormat="1" ht="28.5" customHeight="1" x14ac:dyDescent="0.2">
      <c r="A23" s="19"/>
      <c r="B23" s="1075"/>
      <c r="C23" s="1047" t="s">
        <v>61</v>
      </c>
      <c r="D23" s="1048"/>
      <c r="E23" s="88"/>
      <c r="F23" s="89"/>
      <c r="G23" s="350">
        <f>'Données de consommation'!E23/1000</f>
        <v>0.28999999999999998</v>
      </c>
      <c r="H23" s="346"/>
      <c r="I23" s="346"/>
      <c r="J23" s="346"/>
      <c r="K23" s="336"/>
      <c r="L23" s="330">
        <f t="shared" si="5"/>
        <v>0.28999999999999998</v>
      </c>
      <c r="M23" s="522">
        <f>0.3*'Emissions 2010_2014_2017'!$L23</f>
        <v>8.6999999999999994E-2</v>
      </c>
      <c r="N23" s="212"/>
      <c r="O23"/>
      <c r="P23" s="89"/>
      <c r="Q23" s="89"/>
      <c r="R23" s="49">
        <f>'Données de consommation'!H23/1000</f>
        <v>1.4E-2</v>
      </c>
      <c r="S23" s="42"/>
      <c r="T23" s="42"/>
      <c r="U23" s="42"/>
      <c r="V23" s="57"/>
      <c r="W23" s="289">
        <f t="shared" si="2"/>
        <v>1.4E-2</v>
      </c>
      <c r="X23" s="82">
        <v>0.1</v>
      </c>
      <c r="Y23" s="522">
        <f>0.3*'Emissions 2010_2014_2017'!$W23</f>
        <v>4.1999999999999997E-3</v>
      </c>
      <c r="Z23" s="19"/>
      <c r="AA23" s="19"/>
      <c r="AB23" s="89"/>
      <c r="AC23" s="49">
        <f>'Données de consommation'!K23/1000</f>
        <v>0.1875</v>
      </c>
      <c r="AD23" s="42"/>
      <c r="AE23" s="42"/>
      <c r="AF23" s="42"/>
      <c r="AG23" s="57"/>
      <c r="AH23" s="289">
        <f t="shared" si="3"/>
        <v>0.1875</v>
      </c>
      <c r="AI23" s="563">
        <v>0.1</v>
      </c>
      <c r="AJ23" s="522">
        <f>0.3*'Emissions 2010_2014_2017'!$AH23</f>
        <v>5.6249999999999994E-2</v>
      </c>
      <c r="AK23" s="125">
        <f t="shared" si="4"/>
        <v>-0.10249999999999998</v>
      </c>
      <c r="AL23" s="125">
        <f t="shared" si="1"/>
        <v>0.17349999999999999</v>
      </c>
      <c r="AM23" s="19"/>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row>
    <row r="24" spans="1:129" s="4" customFormat="1" ht="27" customHeight="1" thickBot="1" x14ac:dyDescent="0.25">
      <c r="A24" s="19"/>
      <c r="B24" s="1075"/>
      <c r="C24" s="1047" t="s">
        <v>62</v>
      </c>
      <c r="D24" s="1048"/>
      <c r="E24" s="468">
        <f>0.803/1000</f>
        <v>8.03E-4</v>
      </c>
      <c r="F24" s="450">
        <f>3.47/1000</f>
        <v>3.47E-3</v>
      </c>
      <c r="G24" s="348">
        <f>'Données de consommation'!E24*'Emissions 2010_2014_2017'!F24</f>
        <v>0</v>
      </c>
      <c r="H24" s="346"/>
      <c r="I24" s="346"/>
      <c r="J24" s="346"/>
      <c r="K24" s="336"/>
      <c r="L24" s="341">
        <f t="shared" si="5"/>
        <v>0</v>
      </c>
      <c r="M24" s="556">
        <f>0.05*'Emissions 2010_2014_2017'!$L24</f>
        <v>0</v>
      </c>
      <c r="N24" s="212"/>
      <c r="O24"/>
      <c r="P24" s="62">
        <v>8.03E-4</v>
      </c>
      <c r="Q24" s="450">
        <f>3.47/1000</f>
        <v>3.47E-3</v>
      </c>
      <c r="R24" s="82">
        <f>'Données de consommation'!H24*'Emissions 2010_2014_2017'!Q24</f>
        <v>0</v>
      </c>
      <c r="S24" s="42"/>
      <c r="T24" s="42"/>
      <c r="U24" s="42"/>
      <c r="V24" s="57"/>
      <c r="W24" s="281">
        <f t="shared" si="2"/>
        <v>0</v>
      </c>
      <c r="X24" s="82">
        <v>0.05</v>
      </c>
      <c r="Y24" s="556">
        <f>0.05*'Emissions 2010_2014_2017'!$W24</f>
        <v>0</v>
      </c>
      <c r="Z24" s="19"/>
      <c r="AA24" s="19"/>
      <c r="AB24" s="450">
        <f>3.47/1000</f>
        <v>3.47E-3</v>
      </c>
      <c r="AC24" s="82">
        <f>'Données de consommation'!K24*'Emissions 2010_2014_2017'!AB24</f>
        <v>0</v>
      </c>
      <c r="AD24" s="42"/>
      <c r="AE24" s="42"/>
      <c r="AF24" s="42"/>
      <c r="AG24" s="57"/>
      <c r="AH24" s="280">
        <f t="shared" si="3"/>
        <v>0</v>
      </c>
      <c r="AI24" s="41">
        <v>0.05</v>
      </c>
      <c r="AJ24" s="556">
        <f>0.05*'Emissions 2010_2014_2017'!$AH24</f>
        <v>0</v>
      </c>
      <c r="AK24" s="125">
        <f t="shared" si="4"/>
        <v>0</v>
      </c>
      <c r="AL24" s="125">
        <f t="shared" si="1"/>
        <v>0</v>
      </c>
      <c r="AM24" s="19"/>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row>
    <row r="25" spans="1:129" s="3" customFormat="1" ht="13.5" thickBot="1" x14ac:dyDescent="0.25">
      <c r="A25" s="19"/>
      <c r="B25" s="1075"/>
      <c r="C25" s="1103" t="s">
        <v>18</v>
      </c>
      <c r="D25" s="1104"/>
      <c r="E25" s="113"/>
      <c r="F25" s="100"/>
      <c r="G25" s="352"/>
      <c r="H25" s="353"/>
      <c r="I25" s="353"/>
      <c r="J25" s="353"/>
      <c r="K25" s="354"/>
      <c r="L25" s="355"/>
      <c r="M25" s="356"/>
      <c r="N25" s="212"/>
      <c r="O25"/>
      <c r="P25" s="100"/>
      <c r="Q25" s="100"/>
      <c r="R25" s="101"/>
      <c r="S25" s="102"/>
      <c r="T25" s="102"/>
      <c r="U25" s="102"/>
      <c r="V25" s="106"/>
      <c r="W25" s="282"/>
      <c r="X25" s="560"/>
      <c r="Y25" s="559"/>
      <c r="Z25" s="38"/>
      <c r="AA25" s="38"/>
      <c r="AB25" s="100"/>
      <c r="AC25" s="101"/>
      <c r="AD25" s="102"/>
      <c r="AE25" s="102"/>
      <c r="AF25" s="102"/>
      <c r="AG25" s="106"/>
      <c r="AH25" s="282">
        <f t="shared" si="3"/>
        <v>0</v>
      </c>
      <c r="AI25" s="286"/>
      <c r="AJ25" s="107">
        <f>$W25*$X25</f>
        <v>0</v>
      </c>
      <c r="AK25" s="249">
        <f>$AH25-$L25</f>
        <v>0</v>
      </c>
      <c r="AL25" s="249">
        <f t="shared" si="1"/>
        <v>0</v>
      </c>
      <c r="AM25" s="38"/>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c r="DX25" s="17"/>
      <c r="DY25" s="17"/>
    </row>
    <row r="26" spans="1:129" s="6" customFormat="1" ht="13.5" thickBot="1" x14ac:dyDescent="0.25">
      <c r="A26" s="19"/>
      <c r="B26" s="1075"/>
      <c r="C26" s="1051" t="s">
        <v>2</v>
      </c>
      <c r="D26" s="1052"/>
      <c r="E26" s="470"/>
      <c r="F26" s="451"/>
      <c r="G26" s="357">
        <f>SUM(G8:G25)</f>
        <v>1157.6366451499998</v>
      </c>
      <c r="H26" s="358"/>
      <c r="I26" s="358"/>
      <c r="J26" s="358"/>
      <c r="K26" s="359"/>
      <c r="L26" s="513">
        <f>SUM(L8:L25)</f>
        <v>1258.5341551500001</v>
      </c>
      <c r="M26" s="360">
        <f>SUM(M8:M25)</f>
        <v>95.950025265000008</v>
      </c>
      <c r="N26" s="212"/>
      <c r="O26"/>
      <c r="P26" s="63"/>
      <c r="Q26" s="451"/>
      <c r="R26" s="52"/>
      <c r="S26" s="53"/>
      <c r="T26" s="53"/>
      <c r="U26" s="53"/>
      <c r="V26" s="58"/>
      <c r="W26" s="283">
        <f>SUM(W8:W25)</f>
        <v>904.97335324999983</v>
      </c>
      <c r="X26" s="287"/>
      <c r="Y26" s="124">
        <f>SUM(Y8:Y25)</f>
        <v>76.277791725000014</v>
      </c>
      <c r="Z26" s="38"/>
      <c r="AA26" s="38"/>
      <c r="AB26" s="451"/>
      <c r="AC26" s="52"/>
      <c r="AD26" s="53"/>
      <c r="AE26" s="53"/>
      <c r="AF26" s="53"/>
      <c r="AG26" s="58"/>
      <c r="AH26" s="283">
        <f>SUM(AH8:AH25)</f>
        <v>1080.3486287000001</v>
      </c>
      <c r="AI26" s="287"/>
      <c r="AJ26" s="124">
        <f>SUM(AJ8:AJ25)</f>
        <v>73.426510670000013</v>
      </c>
      <c r="AK26" s="310">
        <f>$AH26-$L26</f>
        <v>-178.18552645</v>
      </c>
      <c r="AL26" s="310">
        <f t="shared" si="1"/>
        <v>175.37527545000023</v>
      </c>
      <c r="AM26" s="38"/>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row>
    <row r="27" spans="1:129" s="8" customFormat="1" ht="12.75" customHeight="1" thickBot="1" x14ac:dyDescent="0.25">
      <c r="A27" s="19"/>
      <c r="B27" s="1076" t="s">
        <v>8</v>
      </c>
      <c r="C27" s="1045" t="s">
        <v>19</v>
      </c>
      <c r="D27" s="1046"/>
      <c r="E27" s="691">
        <f>0.0163636363636364*44/12000</f>
        <v>6.000000000000013E-5</v>
      </c>
      <c r="F27" s="685">
        <f>0.0647/1000</f>
        <v>6.4699999999999987E-5</v>
      </c>
      <c r="G27" s="692">
        <f>'Données de consommation'!E27*'Emissions 2010_2014_2017'!F27</f>
        <v>126.88472279999998</v>
      </c>
      <c r="H27" s="361"/>
      <c r="I27" s="693"/>
      <c r="J27" s="693"/>
      <c r="K27" s="694"/>
      <c r="L27" s="695">
        <f>SUM(G27:K27)</f>
        <v>126.88472279999998</v>
      </c>
      <c r="M27" s="362">
        <f>0.1*L27</f>
        <v>12.688472279999999</v>
      </c>
      <c r="N27" s="212"/>
      <c r="O27" s="696"/>
      <c r="P27" s="697">
        <f>0.082/1000</f>
        <v>8.2000000000000001E-5</v>
      </c>
      <c r="Q27" s="685">
        <f>0.0647/1000</f>
        <v>6.4699999999999987E-5</v>
      </c>
      <c r="R27" s="126">
        <f>'Données de consommation'!H27*'Emissions 2010_2014_2017'!Q27</f>
        <v>116.49881999999998</v>
      </c>
      <c r="S27" s="251"/>
      <c r="T27" s="251"/>
      <c r="U27" s="251"/>
      <c r="V27" s="274"/>
      <c r="W27" s="682">
        <f>SUM($R27:$V27)</f>
        <v>116.49881999999998</v>
      </c>
      <c r="X27" s="683">
        <v>0.1</v>
      </c>
      <c r="Y27" s="684">
        <f>0.1*'Emissions 2010_2014_2017'!$W27</f>
        <v>11.649881999999998</v>
      </c>
      <c r="Z27" s="19"/>
      <c r="AA27" s="19"/>
      <c r="AB27" s="685">
        <f>0.0647/1000</f>
        <v>6.4699999999999987E-5</v>
      </c>
      <c r="AC27" s="686">
        <f>'Données de consommation'!K27*'Emissions 2010_2014_2017'!AB27</f>
        <v>91.88427750441997</v>
      </c>
      <c r="AD27" s="251"/>
      <c r="AE27" s="251"/>
      <c r="AF27" s="251"/>
      <c r="AG27" s="274"/>
      <c r="AH27" s="682">
        <f t="shared" ref="AH27:AH33" si="6">SUM($AC27:$AG27)</f>
        <v>91.88427750441997</v>
      </c>
      <c r="AI27" s="683">
        <v>0.1</v>
      </c>
      <c r="AJ27" s="690">
        <f>0.1*'Emissions 2010_2014_2017'!AH27</f>
        <v>9.1884277504419973</v>
      </c>
      <c r="AK27" s="126">
        <f>$AH27+AH28-$L27</f>
        <v>-34.911925900000014</v>
      </c>
      <c r="AL27" s="126">
        <f>$AH27+AH28-$W27</f>
        <v>-24.526023100000018</v>
      </c>
      <c r="AM27" s="19"/>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row>
    <row r="28" spans="1:129" s="8" customFormat="1" ht="12.75" customHeight="1" x14ac:dyDescent="0.2">
      <c r="A28" s="19"/>
      <c r="B28" s="1077"/>
      <c r="C28" s="1105" t="s">
        <v>176</v>
      </c>
      <c r="D28" s="1106"/>
      <c r="E28" s="493"/>
      <c r="F28" s="502"/>
      <c r="G28" s="700"/>
      <c r="H28" s="699"/>
      <c r="I28" s="699"/>
      <c r="J28" s="699"/>
      <c r="K28" s="698"/>
      <c r="L28" s="676"/>
      <c r="M28" s="677"/>
      <c r="N28" s="212"/>
      <c r="O28"/>
      <c r="P28" s="678"/>
      <c r="Q28" s="449">
        <f>0.0647/1000</f>
        <v>6.4699999999999987E-5</v>
      </c>
      <c r="R28" s="679"/>
      <c r="S28" s="680"/>
      <c r="T28" s="680"/>
      <c r="U28" s="680"/>
      <c r="V28" s="681"/>
      <c r="W28" s="517"/>
      <c r="X28" s="701"/>
      <c r="Y28" s="702"/>
      <c r="Z28" s="19"/>
      <c r="AA28" s="19"/>
      <c r="AB28" s="449">
        <f>0.0647/1000</f>
        <v>6.4699999999999987E-5</v>
      </c>
      <c r="AC28" s="687">
        <f>'Données de consommation'!K28*'Emissions 2010_2014_2017'!AB28</f>
        <v>8.8519395579999979E-2</v>
      </c>
      <c r="AD28" s="251"/>
      <c r="AE28" s="251"/>
      <c r="AF28" s="251"/>
      <c r="AG28" s="274"/>
      <c r="AH28" s="281">
        <f t="shared" si="6"/>
        <v>8.8519395579999979E-2</v>
      </c>
      <c r="AI28" s="688">
        <v>0.1</v>
      </c>
      <c r="AJ28" s="689">
        <f>0.1*'Emissions 2010_2014_2017'!AH28</f>
        <v>8.8519395579999983E-3</v>
      </c>
      <c r="AK28" s="679"/>
      <c r="AL28" s="679"/>
      <c r="AM28" s="19"/>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row>
    <row r="29" spans="1:129" s="8" customFormat="1" x14ac:dyDescent="0.2">
      <c r="A29" s="19"/>
      <c r="B29" s="1077"/>
      <c r="C29" s="1043" t="s">
        <v>36</v>
      </c>
      <c r="D29" s="1044"/>
      <c r="E29" s="466">
        <f>0.0163636363636364*44/12000</f>
        <v>6.000000000000013E-5</v>
      </c>
      <c r="F29" s="449">
        <f>0.0647/1000</f>
        <v>6.4699999999999987E-5</v>
      </c>
      <c r="G29" s="363">
        <f>'Données de consommation'!E29*'Emissions 2010_2014_2017'!F29</f>
        <v>17.071127349999998</v>
      </c>
      <c r="H29" s="364"/>
      <c r="I29" s="364"/>
      <c r="J29" s="364"/>
      <c r="K29" s="365"/>
      <c r="L29" s="325">
        <f t="shared" ref="L29:L38" si="7">SUM(G29:K29)</f>
        <v>17.071127349999998</v>
      </c>
      <c r="M29" s="366">
        <f>0.1*L29</f>
        <v>1.7071127349999999</v>
      </c>
      <c r="N29" s="212"/>
      <c r="O29"/>
      <c r="P29" s="62">
        <f>0.082/1000</f>
        <v>8.2000000000000001E-5</v>
      </c>
      <c r="Q29" s="449">
        <f>0.0647/1000</f>
        <v>6.4699999999999987E-5</v>
      </c>
      <c r="R29" s="239">
        <f>'Données de consommation'!H29*'Emissions 2010_2014_2017'!Q29</f>
        <v>17.862505399999996</v>
      </c>
      <c r="S29" s="252"/>
      <c r="T29" s="252"/>
      <c r="U29" s="252"/>
      <c r="V29" s="275"/>
      <c r="W29" s="280">
        <f>SUM($R29:$V29)</f>
        <v>17.862505399999996</v>
      </c>
      <c r="X29" s="567">
        <v>0.1</v>
      </c>
      <c r="Y29" s="566">
        <f>0.1*'Emissions 2010_2014_2017'!$W29</f>
        <v>1.7862505399999997</v>
      </c>
      <c r="Z29" s="19"/>
      <c r="AA29" s="19"/>
      <c r="AB29" s="449">
        <f>0.0647/1000</f>
        <v>6.4699999999999987E-5</v>
      </c>
      <c r="AC29" s="239">
        <f>'Données de consommation'!K29*'Emissions 2010_2014_2017'!AB29</f>
        <v>17.216605299999998</v>
      </c>
      <c r="AD29" s="252"/>
      <c r="AE29" s="252"/>
      <c r="AF29" s="252"/>
      <c r="AG29" s="275"/>
      <c r="AH29" s="280">
        <f t="shared" si="6"/>
        <v>17.216605299999998</v>
      </c>
      <c r="AI29" s="567">
        <v>0.1</v>
      </c>
      <c r="AJ29" s="566">
        <f>0.1*'Emissions 2010_2014_2017'!AH29</f>
        <v>1.7216605299999999</v>
      </c>
      <c r="AK29" s="126">
        <f>$AH29-$L29</f>
        <v>0.14547795000000008</v>
      </c>
      <c r="AL29" s="126">
        <f t="shared" ref="AL29:AL35" si="8">$AH29-$W29</f>
        <v>-0.64590009999999864</v>
      </c>
      <c r="AM29" s="19"/>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row>
    <row r="30" spans="1:129" s="8" customFormat="1" x14ac:dyDescent="0.2">
      <c r="A30" s="19"/>
      <c r="B30" s="1077"/>
      <c r="C30" s="1043" t="s">
        <v>37</v>
      </c>
      <c r="D30" s="1044"/>
      <c r="E30" s="466">
        <f>0.0490909090909091*44/12000</f>
        <v>1.8000000000000004E-4</v>
      </c>
      <c r="F30" s="449">
        <f>0.169/1000</f>
        <v>1.6900000000000002E-4</v>
      </c>
      <c r="G30" s="363">
        <f>'Données de consommation'!E30*'Emissions 2010_2014_2017'!F30</f>
        <v>36.2480495</v>
      </c>
      <c r="H30" s="364"/>
      <c r="I30" s="364"/>
      <c r="J30" s="364"/>
      <c r="K30" s="365"/>
      <c r="L30" s="325">
        <f t="shared" si="7"/>
        <v>36.2480495</v>
      </c>
      <c r="M30" s="366">
        <f>0.3*L30</f>
        <v>10.874414849999999</v>
      </c>
      <c r="N30" s="212"/>
      <c r="O30"/>
      <c r="P30" s="62">
        <f>0.209/1000</f>
        <v>2.0899999999999998E-4</v>
      </c>
      <c r="Q30" s="449">
        <f>0.169/1000</f>
        <v>1.6900000000000002E-4</v>
      </c>
      <c r="R30" s="239">
        <f>'Données de consommation'!H30*'Emissions 2010_2014_2017'!Q30</f>
        <v>19.535893000000002</v>
      </c>
      <c r="S30" s="252"/>
      <c r="T30" s="252"/>
      <c r="U30" s="252"/>
      <c r="V30" s="275"/>
      <c r="W30" s="280">
        <f>SUM($R30:$V30)</f>
        <v>19.535893000000002</v>
      </c>
      <c r="X30" s="567">
        <v>0.3</v>
      </c>
      <c r="Y30" s="566">
        <f>0.3*'Emissions 2010_2014_2017'!$W30</f>
        <v>5.8607678999999999</v>
      </c>
      <c r="Z30" s="19"/>
      <c r="AA30" s="19"/>
      <c r="AB30" s="449">
        <f>0.169/1000</f>
        <v>1.6900000000000002E-4</v>
      </c>
      <c r="AC30" s="239">
        <f>'Données de consommation'!K30*'Emissions 2010_2014_2017'!AB30</f>
        <v>26.178438000000003</v>
      </c>
      <c r="AD30" s="252"/>
      <c r="AE30" s="252"/>
      <c r="AF30" s="252"/>
      <c r="AG30" s="275"/>
      <c r="AH30" s="280">
        <f t="shared" si="6"/>
        <v>26.178438000000003</v>
      </c>
      <c r="AI30" s="567">
        <v>0.3</v>
      </c>
      <c r="AJ30" s="566">
        <f>0.3*'Emissions 2010_2014_2017'!AH30</f>
        <v>7.8535314000000005</v>
      </c>
      <c r="AK30" s="126">
        <f>$AH30-$L30</f>
        <v>-10.069611499999997</v>
      </c>
      <c r="AL30" s="126">
        <f t="shared" si="8"/>
        <v>6.6425450000000019</v>
      </c>
      <c r="AM30" s="19"/>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c r="DY30" s="16"/>
    </row>
    <row r="31" spans="1:129" s="8" customFormat="1" x14ac:dyDescent="0.2">
      <c r="A31" s="19"/>
      <c r="B31" s="1077"/>
      <c r="C31" s="1043" t="s">
        <v>20</v>
      </c>
      <c r="D31" s="1044"/>
      <c r="E31" s="466">
        <f>0.0163636363636364*44/12000</f>
        <v>6.000000000000013E-5</v>
      </c>
      <c r="F31" s="449">
        <f>0.0647/1000</f>
        <v>6.4699999999999987E-5</v>
      </c>
      <c r="G31" s="367">
        <f>'Données de consommation'!E31*'Emissions 2010_2014_2017'!F31</f>
        <v>1.0256890999999997</v>
      </c>
      <c r="H31" s="364"/>
      <c r="I31" s="364"/>
      <c r="J31" s="364"/>
      <c r="K31" s="365"/>
      <c r="L31" s="330">
        <f t="shared" si="7"/>
        <v>1.0256890999999997</v>
      </c>
      <c r="M31" s="366">
        <f>0.1*L31</f>
        <v>0.10256890999999997</v>
      </c>
      <c r="N31" s="212"/>
      <c r="O31"/>
      <c r="P31" s="62">
        <f>0.082/1000</f>
        <v>8.2000000000000001E-5</v>
      </c>
      <c r="Q31" s="449">
        <f>0.0647/1000</f>
        <v>6.4699999999999987E-5</v>
      </c>
      <c r="R31" s="81">
        <f>'Données de consommation'!H31*'Emissions 2010_2014_2017'!Q31</f>
        <v>0.77083579999999985</v>
      </c>
      <c r="S31" s="252"/>
      <c r="T31" s="252"/>
      <c r="U31" s="252"/>
      <c r="V31" s="275"/>
      <c r="W31" s="281">
        <f>SUM($R31:$V31)</f>
        <v>0.77083579999999985</v>
      </c>
      <c r="X31" s="567">
        <v>0.1</v>
      </c>
      <c r="Y31" s="566">
        <f>0.1*'Emissions 2010_2014_2017'!$W31</f>
        <v>7.7083579999999985E-2</v>
      </c>
      <c r="Z31" s="19"/>
      <c r="AA31" s="19"/>
      <c r="AB31" s="449">
        <f>0.0647/1000</f>
        <v>6.4699999999999987E-5</v>
      </c>
      <c r="AC31" s="81">
        <f>'Données de consommation'!K31*'Emissions 2010_2014_2017'!AB31</f>
        <v>0.16679659999999996</v>
      </c>
      <c r="AD31" s="252"/>
      <c r="AE31" s="252"/>
      <c r="AF31" s="252"/>
      <c r="AG31" s="275"/>
      <c r="AH31" s="281">
        <f t="shared" si="6"/>
        <v>0.16679659999999996</v>
      </c>
      <c r="AI31" s="567">
        <v>0.1</v>
      </c>
      <c r="AJ31" s="566">
        <f>0.1*'Emissions 2010_2014_2017'!AH31</f>
        <v>1.6679659999999995E-2</v>
      </c>
      <c r="AK31" s="126">
        <f>$AH31-$L31</f>
        <v>-0.85889249999999973</v>
      </c>
      <c r="AL31" s="126">
        <f t="shared" si="8"/>
        <v>-0.60403919999999989</v>
      </c>
      <c r="AM31" s="19"/>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row>
    <row r="32" spans="1:129" s="8" customFormat="1" x14ac:dyDescent="0.2">
      <c r="A32" s="19"/>
      <c r="B32" s="1077"/>
      <c r="C32" s="1043" t="s">
        <v>21</v>
      </c>
      <c r="D32" s="1044"/>
      <c r="E32" s="466">
        <f>0.0163636363636364*44/12000</f>
        <v>6.000000000000013E-5</v>
      </c>
      <c r="F32" s="449">
        <f>0.0647/1000</f>
        <v>6.4699999999999987E-5</v>
      </c>
      <c r="G32" s="363">
        <f>'Données de consommation'!E32*'Emissions 2010_2014_2017'!F32</f>
        <v>158.68820189999997</v>
      </c>
      <c r="H32" s="364"/>
      <c r="I32" s="364"/>
      <c r="J32" s="364"/>
      <c r="K32" s="365"/>
      <c r="L32" s="325">
        <f t="shared" si="7"/>
        <v>158.68820189999997</v>
      </c>
      <c r="M32" s="366">
        <f>0.1*L32</f>
        <v>15.868820189999997</v>
      </c>
      <c r="N32" s="212"/>
      <c r="O32"/>
      <c r="P32" s="62">
        <f>0.082/1000</f>
        <v>8.2000000000000001E-5</v>
      </c>
      <c r="Q32" s="449">
        <f>0.0647/1000</f>
        <v>6.4699999999999987E-5</v>
      </c>
      <c r="R32" s="239">
        <f>'Données de consommation'!H32*'Emissions 2010_2014_2017'!Q32</f>
        <v>176.25464009999996</v>
      </c>
      <c r="S32" s="252"/>
      <c r="T32" s="252"/>
      <c r="U32" s="252"/>
      <c r="V32" s="275"/>
      <c r="W32" s="280">
        <f>SUM($R32:$V32)</f>
        <v>176.25464009999996</v>
      </c>
      <c r="X32" s="567">
        <v>0.1</v>
      </c>
      <c r="Y32" s="566">
        <f>0.1*'Emissions 2010_2014_2017'!$W32</f>
        <v>17.625464009999998</v>
      </c>
      <c r="Z32" s="19"/>
      <c r="AA32" s="19"/>
      <c r="AB32" s="449">
        <f>0.0647/1000</f>
        <v>6.4699999999999987E-5</v>
      </c>
      <c r="AC32" s="239">
        <f>'Données de consommation'!K32*'Emissions 2010_2014_2017'!AB32</f>
        <v>189.02700239999996</v>
      </c>
      <c r="AD32" s="252"/>
      <c r="AE32" s="252"/>
      <c r="AF32" s="252"/>
      <c r="AG32" s="275"/>
      <c r="AH32" s="280">
        <f t="shared" si="6"/>
        <v>189.02700239999996</v>
      </c>
      <c r="AI32" s="567">
        <v>0.1</v>
      </c>
      <c r="AJ32" s="566">
        <f>0.1*'Emissions 2010_2014_2017'!AH32</f>
        <v>18.902700239999998</v>
      </c>
      <c r="AK32" s="126">
        <f>$AH32-$L32</f>
        <v>30.338800499999991</v>
      </c>
      <c r="AL32" s="126">
        <f t="shared" si="8"/>
        <v>12.772362299999998</v>
      </c>
      <c r="AM32" s="19"/>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row>
    <row r="33" spans="1:129" s="8" customFormat="1" x14ac:dyDescent="0.2">
      <c r="A33" s="19"/>
      <c r="B33" s="1077"/>
      <c r="C33" s="1043" t="s">
        <v>132</v>
      </c>
      <c r="D33" s="1044"/>
      <c r="E33" s="466">
        <f>0.0163636363636364*44/12000</f>
        <v>6.000000000000013E-5</v>
      </c>
      <c r="F33" s="449">
        <f>0.0647/1000</f>
        <v>6.4699999999999987E-5</v>
      </c>
      <c r="G33" s="486"/>
      <c r="H33" s="487"/>
      <c r="I33" s="487"/>
      <c r="J33" s="487"/>
      <c r="K33" s="488"/>
      <c r="L33" s="489"/>
      <c r="M33" s="490"/>
      <c r="N33" s="212"/>
      <c r="O33"/>
      <c r="P33" s="62">
        <f>0.082/1000</f>
        <v>8.2000000000000001E-5</v>
      </c>
      <c r="Q33" s="449">
        <f>0.0647/1000</f>
        <v>6.4699999999999987E-5</v>
      </c>
      <c r="R33" s="514"/>
      <c r="S33" s="515"/>
      <c r="T33" s="515"/>
      <c r="U33" s="515"/>
      <c r="V33" s="516"/>
      <c r="W33" s="517"/>
      <c r="X33" s="518"/>
      <c r="Y33" s="565"/>
      <c r="Z33" s="19"/>
      <c r="AA33" s="19"/>
      <c r="AB33" s="449">
        <f>0.0647/1000</f>
        <v>6.4699999999999987E-5</v>
      </c>
      <c r="AC33" s="239">
        <f>'Données de consommation'!K33*'Emissions 2010_2014_2017'!AB33</f>
        <v>22.677996999999994</v>
      </c>
      <c r="AD33" s="474"/>
      <c r="AE33" s="474"/>
      <c r="AF33" s="474"/>
      <c r="AG33" s="475"/>
      <c r="AH33" s="280">
        <f t="shared" si="6"/>
        <v>22.677996999999994</v>
      </c>
      <c r="AI33" s="567">
        <v>0.1</v>
      </c>
      <c r="AJ33" s="566">
        <f>0.1*'Emissions 2010_2014_2017'!AH33</f>
        <v>2.2677996999999994</v>
      </c>
      <c r="AK33" s="126">
        <f t="shared" ref="AK33:AK38" si="9">$AH33-$L33</f>
        <v>22.677996999999994</v>
      </c>
      <c r="AL33" s="126">
        <f t="shared" si="8"/>
        <v>22.677996999999994</v>
      </c>
      <c r="AM33" s="19"/>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row>
    <row r="34" spans="1:129" s="8" customFormat="1" ht="29.25" customHeight="1" thickBot="1" x14ac:dyDescent="0.25">
      <c r="A34" s="19"/>
      <c r="B34" s="1077"/>
      <c r="C34" s="1112" t="s">
        <v>146</v>
      </c>
      <c r="D34" s="1113"/>
      <c r="E34" s="493"/>
      <c r="F34" s="492">
        <f>0.19/1000</f>
        <v>1.9000000000000001E-4</v>
      </c>
      <c r="G34" s="352"/>
      <c r="H34" s="353"/>
      <c r="I34" s="353"/>
      <c r="J34" s="353"/>
      <c r="K34" s="368"/>
      <c r="L34" s="369"/>
      <c r="M34" s="370"/>
      <c r="N34" s="212"/>
      <c r="O34"/>
      <c r="P34" s="104"/>
      <c r="Q34" s="492">
        <f>0.19/1000</f>
        <v>1.9000000000000001E-4</v>
      </c>
      <c r="R34" s="105"/>
      <c r="S34" s="94"/>
      <c r="T34" s="94"/>
      <c r="U34" s="94"/>
      <c r="V34" s="276"/>
      <c r="W34" s="282"/>
      <c r="X34" s="277"/>
      <c r="Y34" s="108"/>
      <c r="Z34" s="19"/>
      <c r="AA34" s="19"/>
      <c r="AB34" s="492">
        <f>0.19/1000</f>
        <v>1.9000000000000001E-4</v>
      </c>
      <c r="AC34" s="239">
        <f>'Données de consommation'!K34*'Emissions 2010_2014_2017'!AB34</f>
        <v>22.370961000000001</v>
      </c>
      <c r="AD34" s="474"/>
      <c r="AE34" s="474"/>
      <c r="AF34" s="474"/>
      <c r="AG34" s="475"/>
      <c r="AH34" s="520">
        <f>SUM(AC34:AG34)</f>
        <v>22.370961000000001</v>
      </c>
      <c r="AI34" s="586"/>
      <c r="AJ34" s="566">
        <f>0.1*'Emissions 2010_2014_2017'!AH34</f>
        <v>2.2370961</v>
      </c>
      <c r="AK34" s="519">
        <f t="shared" si="9"/>
        <v>22.370961000000001</v>
      </c>
      <c r="AL34" s="476">
        <f t="shared" si="8"/>
        <v>22.370961000000001</v>
      </c>
      <c r="AM34" s="19"/>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row>
    <row r="35" spans="1:129" s="8" customFormat="1" ht="13.5" thickBot="1" x14ac:dyDescent="0.25">
      <c r="A35" s="19"/>
      <c r="B35" s="1078"/>
      <c r="C35" s="1057" t="s">
        <v>2</v>
      </c>
      <c r="D35" s="1058"/>
      <c r="E35" s="470"/>
      <c r="F35" s="452"/>
      <c r="G35" s="371">
        <f>SUM(G27:G34)</f>
        <v>339.91779064999992</v>
      </c>
      <c r="H35" s="372"/>
      <c r="I35" s="372"/>
      <c r="J35" s="372"/>
      <c r="K35" s="373"/>
      <c r="L35" s="512">
        <f>SUM(G35:K35)</f>
        <v>339.91779064999992</v>
      </c>
      <c r="M35" s="374">
        <f>SUM(M27:M34)</f>
        <v>41.241388964999992</v>
      </c>
      <c r="N35" s="212"/>
      <c r="O35"/>
      <c r="P35" s="65"/>
      <c r="Q35" s="452"/>
      <c r="R35" s="130">
        <f>SUM(R27:R34)</f>
        <v>330.92269429999993</v>
      </c>
      <c r="S35" s="253"/>
      <c r="T35" s="253"/>
      <c r="U35" s="253"/>
      <c r="V35" s="59"/>
      <c r="W35" s="283">
        <f>SUM(W27:W34)</f>
        <v>330.92269429999993</v>
      </c>
      <c r="X35" s="278"/>
      <c r="Y35" s="129">
        <f>SUM(Y27:Y34)</f>
        <v>36.999448029999996</v>
      </c>
      <c r="Z35" s="19"/>
      <c r="AA35" s="19"/>
      <c r="AB35" s="452"/>
      <c r="AC35" s="130">
        <f>SUM(AC27:AC34)</f>
        <v>369.61059719999997</v>
      </c>
      <c r="AD35" s="253"/>
      <c r="AE35" s="253"/>
      <c r="AF35" s="253"/>
      <c r="AG35" s="59"/>
      <c r="AH35" s="283">
        <f>SUM(AH27:AH34)</f>
        <v>369.61059719999997</v>
      </c>
      <c r="AI35" s="278"/>
      <c r="AJ35" s="129">
        <f>SUM(AJ27:AJ34)</f>
        <v>42.19674732</v>
      </c>
      <c r="AK35" s="311">
        <f>$AH35-$L35</f>
        <v>29.692806550000057</v>
      </c>
      <c r="AL35" s="477">
        <f t="shared" si="8"/>
        <v>38.68790290000004</v>
      </c>
      <c r="AM35" s="19"/>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row>
    <row r="36" spans="1:129" s="8" customFormat="1" ht="28.5" customHeight="1" x14ac:dyDescent="0.2">
      <c r="A36" s="19"/>
      <c r="B36" s="724" t="s">
        <v>6</v>
      </c>
      <c r="C36" s="1059" t="s">
        <v>23</v>
      </c>
      <c r="D36" s="1060"/>
      <c r="E36" s="466">
        <f>0.00732840175953079*44/12000</f>
        <v>2.6870806451612895E-5</v>
      </c>
      <c r="F36" s="448">
        <f>0.0292/1000</f>
        <v>2.9200000000000002E-5</v>
      </c>
      <c r="G36" s="375">
        <f>'Données de consommation'!E36*'Emissions 2010_2014_2017'!$F36</f>
        <v>171.7156808</v>
      </c>
      <c r="H36" s="376"/>
      <c r="I36" s="376"/>
      <c r="J36" s="376"/>
      <c r="K36" s="377"/>
      <c r="L36" s="378">
        <f t="shared" si="7"/>
        <v>171.7156808</v>
      </c>
      <c r="M36" s="379">
        <f>0.05*G36</f>
        <v>8.5857840400000001</v>
      </c>
      <c r="N36" s="212"/>
      <c r="O36"/>
      <c r="P36" s="66">
        <f>0.035/1000</f>
        <v>3.5000000000000004E-5</v>
      </c>
      <c r="Q36" s="448">
        <f>0.0292/1000</f>
        <v>2.9200000000000002E-5</v>
      </c>
      <c r="R36" s="156">
        <f>'Données de consommation'!H36*'Emissions 2010_2014_2017'!Q36</f>
        <v>118.9673116</v>
      </c>
      <c r="S36" s="302"/>
      <c r="T36" s="302"/>
      <c r="U36" s="302"/>
      <c r="V36" s="303"/>
      <c r="W36" s="290">
        <f>SUM($R36:$V36)</f>
        <v>118.9673116</v>
      </c>
      <c r="X36" s="587">
        <v>0.05</v>
      </c>
      <c r="Y36" s="588">
        <f>0.05*W36</f>
        <v>5.9483655800000008</v>
      </c>
      <c r="Z36" s="19"/>
      <c r="AA36" s="19"/>
      <c r="AB36" s="448">
        <f>0.0292/1000</f>
        <v>2.9200000000000002E-5</v>
      </c>
      <c r="AC36" s="605">
        <f>'Données de consommation'!K36*'Emissions 2010_2014_2017'!AB36</f>
        <v>154.655756</v>
      </c>
      <c r="AD36" s="606"/>
      <c r="AE36" s="606"/>
      <c r="AF36" s="606"/>
      <c r="AG36" s="607"/>
      <c r="AH36" s="279">
        <f>SUM($AC36:$AG36)</f>
        <v>154.655756</v>
      </c>
      <c r="AI36" s="608">
        <v>0.05</v>
      </c>
      <c r="AJ36" s="609">
        <f>0.05*AH36</f>
        <v>7.7327878000000005</v>
      </c>
      <c r="AK36" s="605">
        <f>$AH36-$L36</f>
        <v>-17.059924800000005</v>
      </c>
      <c r="AL36" s="605">
        <f>$AH36-$W36</f>
        <v>35.688444399999995</v>
      </c>
      <c r="AM36" s="19"/>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row>
    <row r="37" spans="1:129" s="8" customFormat="1" ht="26.25" customHeight="1" x14ac:dyDescent="0.2">
      <c r="A37" s="19"/>
      <c r="B37" s="724"/>
      <c r="C37" s="1027" t="s">
        <v>33</v>
      </c>
      <c r="D37" s="1028"/>
      <c r="E37" s="466">
        <f>0.0765712917547569*44/12000</f>
        <v>2.8076140310077528E-4</v>
      </c>
      <c r="F37" s="449">
        <f>0.657/1000</f>
        <v>6.5700000000000003E-4</v>
      </c>
      <c r="G37" s="380">
        <f>'Données de consommation'!E37*'Emissions 2010_2014_2017'!$F37</f>
        <v>13.174164000000001</v>
      </c>
      <c r="H37" s="381"/>
      <c r="I37" s="381"/>
      <c r="J37" s="381"/>
      <c r="K37" s="382"/>
      <c r="L37" s="383">
        <f t="shared" si="7"/>
        <v>13.174164000000001</v>
      </c>
      <c r="M37" s="384">
        <f>0.1*G37</f>
        <v>1.3174164000000002</v>
      </c>
      <c r="N37" s="212"/>
      <c r="O37"/>
      <c r="P37" s="62">
        <f>0.656/1000</f>
        <v>6.5600000000000001E-4</v>
      </c>
      <c r="Q37" s="449">
        <f>0.657/1000</f>
        <v>6.5700000000000003E-4</v>
      </c>
      <c r="R37" s="146">
        <f>'Données de consommation'!H37*'Emissions 2010_2014_2017'!Q37</f>
        <v>10.4503734</v>
      </c>
      <c r="S37" s="304"/>
      <c r="T37" s="304"/>
      <c r="U37" s="304"/>
      <c r="V37" s="142"/>
      <c r="W37" s="291">
        <f>SUM($R37:$V37)</f>
        <v>10.4503734</v>
      </c>
      <c r="X37" s="527">
        <v>0.1</v>
      </c>
      <c r="Y37" s="588">
        <f>0.1*W37</f>
        <v>1.0450373400000001</v>
      </c>
      <c r="Z37" s="19"/>
      <c r="AA37" s="19"/>
      <c r="AB37" s="449">
        <f>0.657/1000</f>
        <v>6.5700000000000003E-4</v>
      </c>
      <c r="AC37" s="610">
        <f>'Données de consommation'!K37*'Emissions 2010_2014_2017'!AB37</f>
        <v>8.3821045499999993</v>
      </c>
      <c r="AD37" s="611"/>
      <c r="AE37" s="611"/>
      <c r="AF37" s="611"/>
      <c r="AG37" s="612"/>
      <c r="AH37" s="653">
        <f>SUM($AC37:$AG37)</f>
        <v>8.3821045499999993</v>
      </c>
      <c r="AI37" s="613">
        <v>0.1</v>
      </c>
      <c r="AJ37" s="609">
        <f>0.1*AH37</f>
        <v>0.83821045500000002</v>
      </c>
      <c r="AK37" s="605">
        <f t="shared" si="9"/>
        <v>-4.7920594500000018</v>
      </c>
      <c r="AL37" s="605">
        <f>$AH37-$W37</f>
        <v>-2.0682688500000008</v>
      </c>
      <c r="AM37" s="19"/>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row>
    <row r="38" spans="1:129" s="8" customFormat="1" ht="27" customHeight="1" x14ac:dyDescent="0.2">
      <c r="A38" s="19"/>
      <c r="B38" s="724"/>
      <c r="C38" s="1027" t="s">
        <v>166</v>
      </c>
      <c r="D38" s="1028"/>
      <c r="E38" s="466">
        <f>0.111450769556025*44/12000</f>
        <v>4.0865282170542497E-4</v>
      </c>
      <c r="F38" s="449">
        <f>0.527/1000</f>
        <v>5.2700000000000002E-4</v>
      </c>
      <c r="G38" s="385">
        <f>'Données de consommation'!E38*'Emissions 2010_2014_2017'!$F38</f>
        <v>0.38846751000000002</v>
      </c>
      <c r="H38" s="381"/>
      <c r="I38" s="381"/>
      <c r="J38" s="381"/>
      <c r="K38" s="382"/>
      <c r="L38" s="386">
        <f t="shared" si="7"/>
        <v>0.38846751000000002</v>
      </c>
      <c r="M38" s="387">
        <f>0.1*G38</f>
        <v>3.8846751000000006E-2</v>
      </c>
      <c r="N38" s="212"/>
      <c r="O38"/>
      <c r="P38" s="62">
        <f>0.534/1000</f>
        <v>5.3400000000000008E-4</v>
      </c>
      <c r="Q38" s="449">
        <f>0.527/1000</f>
        <v>5.2700000000000002E-4</v>
      </c>
      <c r="R38" s="133">
        <f>'Données de consommation'!H38*'Emissions 2010_2014_2017'!Q38</f>
        <v>5.2700000000000004E-3</v>
      </c>
      <c r="S38" s="304"/>
      <c r="T38" s="304"/>
      <c r="U38" s="304"/>
      <c r="V38" s="142"/>
      <c r="W38" s="292">
        <f>SUM($R38:$V38)</f>
        <v>5.2700000000000004E-3</v>
      </c>
      <c r="X38" s="527">
        <v>0.1</v>
      </c>
      <c r="Y38" s="589">
        <f>0.1*W38</f>
        <v>5.2700000000000002E-4</v>
      </c>
      <c r="Z38" s="19"/>
      <c r="AA38" s="19"/>
      <c r="AB38" s="449">
        <f>0.527/1000</f>
        <v>5.2700000000000002E-4</v>
      </c>
      <c r="AC38" s="614">
        <f>'Données de consommation'!K38*'Emissions 2010_2014_2017'!AB38</f>
        <v>3.1567300000000004E-3</v>
      </c>
      <c r="AD38" s="611"/>
      <c r="AE38" s="611"/>
      <c r="AF38" s="611"/>
      <c r="AG38" s="612"/>
      <c r="AH38" s="289">
        <f>SUM($AC38:$AG38)</f>
        <v>3.1567300000000004E-3</v>
      </c>
      <c r="AI38" s="613">
        <v>0.1</v>
      </c>
      <c r="AJ38" s="615">
        <f>0.1*AH38</f>
        <v>3.1567300000000004E-4</v>
      </c>
      <c r="AK38" s="605">
        <f t="shared" si="9"/>
        <v>-0.38531078000000002</v>
      </c>
      <c r="AL38" s="605">
        <f>$AH38-$W38</f>
        <v>-2.11327E-3</v>
      </c>
      <c r="AM38" s="19"/>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row>
    <row r="39" spans="1:129" s="8" customFormat="1" x14ac:dyDescent="0.2">
      <c r="A39" s="19"/>
      <c r="B39" s="724"/>
      <c r="C39" s="1098" t="s">
        <v>24</v>
      </c>
      <c r="D39" s="1099"/>
      <c r="E39" s="84"/>
      <c r="F39" s="85"/>
      <c r="G39" s="388"/>
      <c r="H39" s="389"/>
      <c r="I39" s="389"/>
      <c r="J39" s="389"/>
      <c r="K39" s="390"/>
      <c r="L39" s="391"/>
      <c r="M39" s="392"/>
      <c r="N39" s="212"/>
      <c r="O39"/>
      <c r="P39" s="85"/>
      <c r="Q39" s="85"/>
      <c r="R39" s="137"/>
      <c r="S39" s="138"/>
      <c r="T39" s="138"/>
      <c r="U39" s="138"/>
      <c r="V39" s="139"/>
      <c r="W39" s="273"/>
      <c r="X39" s="268"/>
      <c r="Y39" s="140"/>
      <c r="Z39" s="19"/>
      <c r="AA39" s="19"/>
      <c r="AB39" s="85"/>
      <c r="AC39" s="704"/>
      <c r="AD39" s="705"/>
      <c r="AE39" s="705"/>
      <c r="AF39" s="705"/>
      <c r="AG39" s="706"/>
      <c r="AH39" s="707"/>
      <c r="AI39" s="708"/>
      <c r="AJ39" s="709"/>
      <c r="AK39" s="710"/>
      <c r="AL39" s="710"/>
      <c r="AM39" s="19"/>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row>
    <row r="40" spans="1:129" s="8" customFormat="1" x14ac:dyDescent="0.2">
      <c r="A40" s="19"/>
      <c r="B40" s="724"/>
      <c r="C40" s="1027" t="s">
        <v>167</v>
      </c>
      <c r="D40" s="1028"/>
      <c r="E40" s="570"/>
      <c r="F40" s="449">
        <f>5500/1000</f>
        <v>5.5</v>
      </c>
      <c r="G40" s="571"/>
      <c r="H40" s="572"/>
      <c r="I40" s="572"/>
      <c r="J40" s="572"/>
      <c r="K40" s="573"/>
      <c r="L40" s="574"/>
      <c r="M40" s="575"/>
      <c r="N40" s="212"/>
      <c r="O40" s="29"/>
      <c r="P40" s="576"/>
      <c r="Q40" s="449">
        <f>5500/1000</f>
        <v>5.5</v>
      </c>
      <c r="R40" s="577"/>
      <c r="S40" s="578"/>
      <c r="T40" s="578"/>
      <c r="U40" s="578"/>
      <c r="V40" s="579"/>
      <c r="W40" s="711"/>
      <c r="X40" s="580"/>
      <c r="Y40" s="581"/>
      <c r="Z40" s="19"/>
      <c r="AA40" s="26"/>
      <c r="AB40" s="449">
        <f>5500/1000</f>
        <v>5.5</v>
      </c>
      <c r="AC40" s="614">
        <f>'Données de consommation'!K40*'Emissions 2010_2014_2017'!AB40</f>
        <v>20.734999999999999</v>
      </c>
      <c r="AD40" s="620"/>
      <c r="AE40" s="620"/>
      <c r="AF40" s="620"/>
      <c r="AG40" s="621"/>
      <c r="AH40" s="654">
        <f>SUM(AC40:AG40)</f>
        <v>20.734999999999999</v>
      </c>
      <c r="AI40" s="622">
        <v>0.5</v>
      </c>
      <c r="AJ40" s="623">
        <f>AH40*AI40</f>
        <v>10.3675</v>
      </c>
      <c r="AK40" s="703"/>
      <c r="AL40" s="703"/>
      <c r="AM40" s="19"/>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row>
    <row r="41" spans="1:129" s="8" customFormat="1" ht="25.5" x14ac:dyDescent="0.2">
      <c r="A41" s="19"/>
      <c r="B41" s="724"/>
      <c r="C41" s="1040" t="s">
        <v>184</v>
      </c>
      <c r="D41" s="675" t="s">
        <v>182</v>
      </c>
      <c r="E41" s="570"/>
      <c r="F41" s="449">
        <f>1283/1000</f>
        <v>1.2829999999999999</v>
      </c>
      <c r="G41" s="571"/>
      <c r="H41" s="572"/>
      <c r="I41" s="572"/>
      <c r="J41" s="572"/>
      <c r="K41" s="573"/>
      <c r="L41" s="574"/>
      <c r="M41" s="575"/>
      <c r="N41" s="212"/>
      <c r="O41" s="29"/>
      <c r="P41" s="576"/>
      <c r="Q41" s="449">
        <f>1283/1000</f>
        <v>1.2829999999999999</v>
      </c>
      <c r="R41" s="577"/>
      <c r="S41" s="578"/>
      <c r="T41" s="578"/>
      <c r="U41" s="578"/>
      <c r="V41" s="579"/>
      <c r="W41" s="711"/>
      <c r="X41" s="580"/>
      <c r="Y41" s="581"/>
      <c r="Z41" s="19"/>
      <c r="AA41" s="26"/>
      <c r="AB41" s="449">
        <f>1283/1000</f>
        <v>1.2829999999999999</v>
      </c>
      <c r="AC41" s="614">
        <f>'Données de consommation'!K41*'Emissions 2010_2014_2017'!AB41</f>
        <v>245.82279999999997</v>
      </c>
      <c r="AD41" s="620"/>
      <c r="AE41" s="620"/>
      <c r="AF41" s="620"/>
      <c r="AG41" s="621"/>
      <c r="AH41" s="654">
        <f>SUM(AC41:AG41)</f>
        <v>245.82279999999997</v>
      </c>
      <c r="AI41" s="622">
        <v>0.5</v>
      </c>
      <c r="AJ41" s="623">
        <f>AH41*AI41</f>
        <v>122.91139999999999</v>
      </c>
      <c r="AK41" s="703"/>
      <c r="AL41" s="703"/>
      <c r="AM41" s="19"/>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row>
    <row r="42" spans="1:129" s="8" customFormat="1" x14ac:dyDescent="0.2">
      <c r="A42" s="19"/>
      <c r="B42" s="724"/>
      <c r="C42" s="1126"/>
      <c r="D42" s="675" t="s">
        <v>183</v>
      </c>
      <c r="E42" s="570"/>
      <c r="F42" s="449">
        <f>202/1000</f>
        <v>0.20200000000000001</v>
      </c>
      <c r="G42" s="571"/>
      <c r="H42" s="572"/>
      <c r="I42" s="572"/>
      <c r="J42" s="572"/>
      <c r="K42" s="573"/>
      <c r="L42" s="574"/>
      <c r="M42" s="575"/>
      <c r="N42" s="212"/>
      <c r="O42" s="29"/>
      <c r="P42" s="576"/>
      <c r="Q42" s="449">
        <f>202/1000</f>
        <v>0.20200000000000001</v>
      </c>
      <c r="R42" s="577"/>
      <c r="S42" s="578"/>
      <c r="T42" s="578"/>
      <c r="U42" s="578"/>
      <c r="V42" s="579"/>
      <c r="W42" s="711"/>
      <c r="X42" s="580"/>
      <c r="Y42" s="581"/>
      <c r="Z42" s="19"/>
      <c r="AA42" s="26"/>
      <c r="AB42" s="449">
        <f>202/1000</f>
        <v>0.20200000000000001</v>
      </c>
      <c r="AC42" s="614">
        <f>'Données de consommation'!K42*'Emissions 2010_2014_2017'!AB42</f>
        <v>17.412400000000002</v>
      </c>
      <c r="AD42" s="620"/>
      <c r="AE42" s="620"/>
      <c r="AF42" s="620"/>
      <c r="AG42" s="621"/>
      <c r="AH42" s="654">
        <f>SUM(AC42:AG42)</f>
        <v>17.412400000000002</v>
      </c>
      <c r="AI42" s="622">
        <v>0.5</v>
      </c>
      <c r="AJ42" s="623">
        <f>AH42*AI42</f>
        <v>8.7062000000000008</v>
      </c>
      <c r="AK42" s="703"/>
      <c r="AL42" s="703"/>
      <c r="AM42" s="19"/>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row>
    <row r="43" spans="1:129" s="8" customFormat="1" ht="13.5" thickBot="1" x14ac:dyDescent="0.25">
      <c r="A43" s="19"/>
      <c r="B43" s="724"/>
      <c r="C43" s="1127"/>
      <c r="D43" s="712" t="s">
        <v>179</v>
      </c>
      <c r="E43" s="570"/>
      <c r="F43" s="449">
        <f>61.6/1000</f>
        <v>6.1600000000000002E-2</v>
      </c>
      <c r="G43" s="571"/>
      <c r="H43" s="572"/>
      <c r="I43" s="572"/>
      <c r="J43" s="572"/>
      <c r="K43" s="573"/>
      <c r="L43" s="574"/>
      <c r="M43" s="575"/>
      <c r="N43" s="212"/>
      <c r="O43" s="29"/>
      <c r="P43" s="576"/>
      <c r="Q43" s="449">
        <f>61.6/1000</f>
        <v>6.1600000000000002E-2</v>
      </c>
      <c r="R43" s="577"/>
      <c r="S43" s="578"/>
      <c r="T43" s="578"/>
      <c r="U43" s="578"/>
      <c r="V43" s="579"/>
      <c r="W43" s="711"/>
      <c r="X43" s="483"/>
      <c r="Y43" s="713"/>
      <c r="Z43" s="19"/>
      <c r="AA43" s="26"/>
      <c r="AB43" s="449">
        <f>61.6/1000</f>
        <v>6.1600000000000002E-2</v>
      </c>
      <c r="AC43" s="614">
        <f>'Données de consommation'!K43*'Emissions 2010_2014_2017'!AB43</f>
        <v>9.9915199999999995</v>
      </c>
      <c r="AD43" s="620"/>
      <c r="AE43" s="620"/>
      <c r="AF43" s="620"/>
      <c r="AG43" s="621"/>
      <c r="AH43" s="654">
        <f>SUM(AC43:AG43)</f>
        <v>9.9915199999999995</v>
      </c>
      <c r="AI43" s="714">
        <v>0.5</v>
      </c>
      <c r="AJ43" s="618">
        <f>AH43*AI43</f>
        <v>4.9957599999999998</v>
      </c>
      <c r="AK43" s="703"/>
      <c r="AL43" s="703"/>
      <c r="AM43" s="19"/>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row>
    <row r="44" spans="1:129" s="8" customFormat="1" ht="38.25" customHeight="1" x14ac:dyDescent="0.2">
      <c r="A44" s="19"/>
      <c r="B44" s="724"/>
      <c r="C44" s="1035" t="s">
        <v>98</v>
      </c>
      <c r="D44" s="1036"/>
      <c r="E44" s="471">
        <f>33/1000</f>
        <v>3.3000000000000002E-2</v>
      </c>
      <c r="F44" s="204"/>
      <c r="G44" s="393">
        <f>'Données de consommation'!E44*'Emissions 2010_2014_2017'!$E44</f>
        <v>0.37620000000000003</v>
      </c>
      <c r="H44" s="394"/>
      <c r="I44" s="394"/>
      <c r="J44" s="394"/>
      <c r="K44" s="395"/>
      <c r="L44" s="396">
        <f>SUM(G44:K44)</f>
        <v>0.37620000000000003</v>
      </c>
      <c r="M44" s="397">
        <f>0.5*L44</f>
        <v>0.18810000000000002</v>
      </c>
      <c r="N44" s="212"/>
      <c r="O44"/>
      <c r="P44" s="204"/>
      <c r="Q44" s="204"/>
      <c r="R44" s="258"/>
      <c r="S44" s="259"/>
      <c r="T44" s="259"/>
      <c r="U44" s="259"/>
      <c r="V44" s="267"/>
      <c r="W44" s="292">
        <f>SUM($R45:$R46)</f>
        <v>0.42600899999999992</v>
      </c>
      <c r="X44" s="298">
        <v>0.5</v>
      </c>
      <c r="Y44" s="299">
        <f>$W44*$X44</f>
        <v>0.21300449999999996</v>
      </c>
      <c r="Z44" s="111" t="s">
        <v>125</v>
      </c>
      <c r="AA44" s="111"/>
      <c r="AB44" s="204"/>
      <c r="AC44" s="626"/>
      <c r="AD44" s="627"/>
      <c r="AE44" s="627"/>
      <c r="AF44" s="627"/>
      <c r="AG44" s="628"/>
      <c r="AH44" s="281">
        <f>SUM($AH45:$AH46)</f>
        <v>0.49987400000000004</v>
      </c>
      <c r="AI44" s="629">
        <v>0.5</v>
      </c>
      <c r="AJ44" s="630">
        <f>$AH44*$AI44</f>
        <v>0.24993700000000002</v>
      </c>
      <c r="AK44" s="619">
        <f>$AH44-$L44</f>
        <v>0.12367400000000001</v>
      </c>
      <c r="AL44" s="619">
        <f>$AH44-$W44</f>
        <v>7.3865000000000125E-2</v>
      </c>
      <c r="AM44" s="111" t="s">
        <v>125</v>
      </c>
      <c r="AN44" s="16"/>
      <c r="AO44" s="523" t="s">
        <v>168</v>
      </c>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row>
    <row r="45" spans="1:129" s="8" customFormat="1" ht="13.5" customHeight="1" x14ac:dyDescent="0.2">
      <c r="A45" s="19"/>
      <c r="B45" s="724"/>
      <c r="C45" s="1027" t="s">
        <v>97</v>
      </c>
      <c r="D45" s="1028"/>
      <c r="E45" s="103"/>
      <c r="F45" s="453">
        <f>43.1/1000</f>
        <v>4.3099999999999999E-2</v>
      </c>
      <c r="G45" s="398"/>
      <c r="H45" s="399"/>
      <c r="I45" s="399"/>
      <c r="J45" s="399"/>
      <c r="K45" s="400"/>
      <c r="L45" s="401"/>
      <c r="M45" s="402"/>
      <c r="N45" s="212"/>
      <c r="O45"/>
      <c r="P45" s="66">
        <f>43.1/1000</f>
        <v>4.3099999999999999E-2</v>
      </c>
      <c r="Q45" s="453">
        <f>43.1/1000</f>
        <v>4.3099999999999999E-2</v>
      </c>
      <c r="R45" s="132">
        <f>'Données de consommation'!H45*'Emissions 2010_2014_2017'!Q45</f>
        <v>0.36764299999999994</v>
      </c>
      <c r="S45" s="302"/>
      <c r="T45" s="302"/>
      <c r="U45" s="302"/>
      <c r="V45" s="303"/>
      <c r="W45" s="313">
        <f>SUM($R45:$V45)</f>
        <v>0.36764299999999994</v>
      </c>
      <c r="X45" s="269"/>
      <c r="Y45" s="143"/>
      <c r="Z45" s="19"/>
      <c r="AA45" s="19"/>
      <c r="AB45" s="453">
        <f>43.1/1000</f>
        <v>4.3099999999999999E-2</v>
      </c>
      <c r="AC45" s="619">
        <f>'Données de consommation'!K45*'Emissions 2010_2014_2017'!AB45</f>
        <v>0.43013800000000002</v>
      </c>
      <c r="AD45" s="606"/>
      <c r="AE45" s="606"/>
      <c r="AF45" s="606"/>
      <c r="AG45" s="607"/>
      <c r="AH45" s="520">
        <f>SUM($AC45:$AG45)</f>
        <v>0.43013800000000002</v>
      </c>
      <c r="AI45" s="617"/>
      <c r="AJ45" s="618"/>
      <c r="AK45" s="703"/>
      <c r="AL45" s="703"/>
      <c r="AM45" s="19"/>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16"/>
      <c r="DX45" s="16"/>
      <c r="DY45" s="16"/>
    </row>
    <row r="46" spans="1:129" s="8" customFormat="1" ht="15.75" customHeight="1" thickBot="1" x14ac:dyDescent="0.25">
      <c r="A46" s="19"/>
      <c r="B46" s="724"/>
      <c r="C46" s="1027" t="s">
        <v>96</v>
      </c>
      <c r="D46" s="1028"/>
      <c r="E46" s="255"/>
      <c r="F46" s="454">
        <f>37.9/1000</f>
        <v>3.7899999999999996E-2</v>
      </c>
      <c r="G46" s="403"/>
      <c r="H46" s="404"/>
      <c r="I46" s="404"/>
      <c r="J46" s="404"/>
      <c r="K46" s="405"/>
      <c r="L46" s="406"/>
      <c r="M46" s="407"/>
      <c r="N46" s="212"/>
      <c r="O46"/>
      <c r="P46" s="254">
        <f>37.9/1000</f>
        <v>3.7899999999999996E-2</v>
      </c>
      <c r="Q46" s="454">
        <f>37.9/1000</f>
        <v>3.7899999999999996E-2</v>
      </c>
      <c r="R46" s="305">
        <f>'Données de consommation'!H46*'Emissions 2010_2014_2017'!Q46</f>
        <v>5.8365999999999994E-2</v>
      </c>
      <c r="S46" s="306"/>
      <c r="T46" s="306"/>
      <c r="U46" s="306"/>
      <c r="V46" s="307"/>
      <c r="W46" s="314">
        <f>SUM($R46:$V46)</f>
        <v>5.8365999999999994E-2</v>
      </c>
      <c r="X46" s="270"/>
      <c r="Y46" s="266"/>
      <c r="Z46" s="19"/>
      <c r="AA46" s="19"/>
      <c r="AB46" s="454">
        <f>37.9/1000</f>
        <v>3.7899999999999996E-2</v>
      </c>
      <c r="AC46" s="631">
        <f>'Données de consommation'!K46*'Emissions 2010_2014_2017'!AB46</f>
        <v>6.9735999999999992E-2</v>
      </c>
      <c r="AD46" s="624"/>
      <c r="AE46" s="624"/>
      <c r="AF46" s="624"/>
      <c r="AG46" s="625"/>
      <c r="AH46" s="520">
        <f>SUM($AC46:$AG46)</f>
        <v>6.9735999999999992E-2</v>
      </c>
      <c r="AI46" s="632"/>
      <c r="AJ46" s="633"/>
      <c r="AK46" s="723"/>
      <c r="AL46" s="723"/>
      <c r="AM46" s="19"/>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row>
    <row r="47" spans="1:129" s="8" customFormat="1" ht="13.5" thickBot="1" x14ac:dyDescent="0.25">
      <c r="A47" s="19"/>
      <c r="B47" s="724"/>
      <c r="C47" s="1035" t="s">
        <v>67</v>
      </c>
      <c r="D47" s="1036"/>
      <c r="E47" s="466">
        <f>-2.057</f>
        <v>-2.0569999999999999</v>
      </c>
      <c r="F47" s="453">
        <f>33/1000</f>
        <v>3.3000000000000002E-2</v>
      </c>
      <c r="G47" s="408">
        <f>'Données de consommation'!E47*'Emissions 2010_2014_2017'!$F47</f>
        <v>0.15840000000000001</v>
      </c>
      <c r="H47" s="376"/>
      <c r="I47" s="376"/>
      <c r="J47" s="376"/>
      <c r="K47" s="377"/>
      <c r="L47" s="409">
        <f>SUM(G47:K47)</f>
        <v>0.15840000000000001</v>
      </c>
      <c r="M47" s="414"/>
      <c r="N47" s="212"/>
      <c r="O47"/>
      <c r="P47" s="66">
        <f>33/1000</f>
        <v>3.3000000000000002E-2</v>
      </c>
      <c r="Q47" s="453">
        <f>33/1000</f>
        <v>3.3000000000000002E-2</v>
      </c>
      <c r="R47" s="132">
        <f>'Données de consommation'!H47*'Emissions 2010_2014_2017'!Q47</f>
        <v>5.0160000000000003E-2</v>
      </c>
      <c r="S47" s="302"/>
      <c r="T47" s="302"/>
      <c r="U47" s="302"/>
      <c r="V47" s="303"/>
      <c r="W47" s="292">
        <f>SUM($R47:$V47)</f>
        <v>5.0160000000000003E-2</v>
      </c>
      <c r="X47" s="298"/>
      <c r="Y47" s="299">
        <f>$W47*$X47</f>
        <v>0</v>
      </c>
      <c r="Z47" s="19"/>
      <c r="AA47" s="19"/>
      <c r="AB47" s="453">
        <f>33/1000</f>
        <v>3.3000000000000002E-2</v>
      </c>
      <c r="AC47" s="619">
        <f>'Données de consommation'!K47*'Emissions 2010_2014_2017'!AB47</f>
        <v>3.168E-2</v>
      </c>
      <c r="AD47" s="606"/>
      <c r="AE47" s="606"/>
      <c r="AF47" s="606"/>
      <c r="AG47" s="607"/>
      <c r="AH47" s="281">
        <f>SUM($AC47:$AG47)</f>
        <v>3.168E-2</v>
      </c>
      <c r="AI47" s="629"/>
      <c r="AJ47" s="630">
        <f>$AH47*$AI47</f>
        <v>0</v>
      </c>
      <c r="AK47" s="619">
        <f>$AH47-$L47</f>
        <v>-0.12672</v>
      </c>
      <c r="AL47" s="619">
        <f>$AH47-$W47</f>
        <v>-1.8480000000000003E-2</v>
      </c>
      <c r="AM47" s="19"/>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c r="DI47" s="16"/>
      <c r="DJ47" s="16"/>
      <c r="DK47" s="16"/>
      <c r="DL47" s="16"/>
      <c r="DM47" s="16"/>
      <c r="DN47" s="16"/>
      <c r="DO47" s="16"/>
      <c r="DP47" s="16"/>
      <c r="DQ47" s="16"/>
      <c r="DR47" s="16"/>
      <c r="DS47" s="16"/>
      <c r="DT47" s="16"/>
      <c r="DU47" s="16"/>
      <c r="DV47" s="16"/>
      <c r="DW47" s="16"/>
      <c r="DX47" s="16"/>
      <c r="DY47" s="16"/>
    </row>
    <row r="48" spans="1:129" s="8" customFormat="1" ht="26.25" customHeight="1" thickBot="1" x14ac:dyDescent="0.25">
      <c r="A48" s="19"/>
      <c r="B48" s="724"/>
      <c r="C48" s="1027" t="s">
        <v>119</v>
      </c>
      <c r="D48" s="1028"/>
      <c r="E48" s="472">
        <f>370/1000</f>
        <v>0.37</v>
      </c>
      <c r="F48" s="454">
        <f>215/1000</f>
        <v>0.215</v>
      </c>
      <c r="G48" s="410" t="e">
        <f>'Données de consommation'!E48*'Emissions 2010_2014_2017'!$F48</f>
        <v>#VALUE!</v>
      </c>
      <c r="H48" s="411"/>
      <c r="I48" s="411"/>
      <c r="J48" s="411"/>
      <c r="K48" s="412"/>
      <c r="L48" s="413" t="e">
        <f>SUM(G48:K48)</f>
        <v>#VALUE!</v>
      </c>
      <c r="M48" s="414" t="e">
        <f>0.5*L48</f>
        <v>#VALUE!</v>
      </c>
      <c r="N48" s="728"/>
      <c r="O48"/>
      <c r="P48" s="254">
        <f>215/1000</f>
        <v>0.215</v>
      </c>
      <c r="Q48" s="454">
        <f>215/1000</f>
        <v>0.215</v>
      </c>
      <c r="R48" s="305">
        <f>'Données de consommation'!H48*'Emissions 2010_2014_2017'!Q48</f>
        <v>0.39570749999999993</v>
      </c>
      <c r="S48" s="306"/>
      <c r="T48" s="306"/>
      <c r="U48" s="306"/>
      <c r="V48" s="307"/>
      <c r="W48" s="294">
        <f>SUM($R48:$V48)</f>
        <v>0.39570749999999993</v>
      </c>
      <c r="X48" s="300">
        <v>0.5</v>
      </c>
      <c r="Y48" s="301">
        <f>0.5*$W48</f>
        <v>0.19785374999999997</v>
      </c>
      <c r="Z48" s="19"/>
      <c r="AA48" s="19"/>
      <c r="AB48" s="454">
        <f>215/1000</f>
        <v>0.215</v>
      </c>
      <c r="AC48" s="631">
        <f>'Données de consommation'!K48*'Emissions 2010_2014_2017'!AB48</f>
        <v>0.95943749999999983</v>
      </c>
      <c r="AD48" s="624"/>
      <c r="AE48" s="624"/>
      <c r="AF48" s="624"/>
      <c r="AG48" s="625"/>
      <c r="AH48" s="281">
        <f>SUM($AC48:$AG48)</f>
        <v>0.95943749999999983</v>
      </c>
      <c r="AI48" s="632">
        <v>0.5</v>
      </c>
      <c r="AJ48" s="633">
        <f>$W48*$X48</f>
        <v>0.19785374999999997</v>
      </c>
      <c r="AK48" s="619" t="e">
        <f>$AH48-$L48</f>
        <v>#VALUE!</v>
      </c>
      <c r="AL48" s="634">
        <f>$AH48-$W48</f>
        <v>0.56372999999999984</v>
      </c>
      <c r="AM48" s="19"/>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6"/>
      <c r="DS48" s="16"/>
      <c r="DT48" s="16"/>
      <c r="DU48" s="16"/>
      <c r="DV48" s="16"/>
      <c r="DW48" s="16"/>
      <c r="DX48" s="16"/>
      <c r="DY48" s="16"/>
    </row>
    <row r="49" spans="1:129" s="8" customFormat="1" ht="18" customHeight="1" x14ac:dyDescent="0.2">
      <c r="A49" s="19"/>
      <c r="B49" s="724"/>
      <c r="C49" s="1035" t="s">
        <v>38</v>
      </c>
      <c r="D49" s="1036"/>
      <c r="E49" s="471">
        <v>0.71099999999999997</v>
      </c>
      <c r="F49" s="204"/>
      <c r="G49" s="393">
        <f>'Données de consommation'!E50*'Emissions 2010_2014_2017'!E49</f>
        <v>0.87950700000000004</v>
      </c>
      <c r="H49" s="394"/>
      <c r="I49" s="394"/>
      <c r="J49" s="394"/>
      <c r="K49" s="395"/>
      <c r="L49" s="396">
        <f>SUM(G49:K49)</f>
        <v>0.87950700000000004</v>
      </c>
      <c r="M49" s="397">
        <f>0.5*L49</f>
        <v>0.43975350000000002</v>
      </c>
      <c r="N49" s="212"/>
      <c r="O49"/>
      <c r="P49" s="260"/>
      <c r="Q49" s="204"/>
      <c r="R49" s="261"/>
      <c r="S49" s="259"/>
      <c r="T49" s="259"/>
      <c r="U49" s="259"/>
      <c r="V49" s="267"/>
      <c r="W49" s="292">
        <f>SUM(R50:R51)</f>
        <v>1.3361799999999999</v>
      </c>
      <c r="X49" s="298"/>
      <c r="Y49" s="299">
        <f>$Y50+$Y51</f>
        <v>0.66808999999999996</v>
      </c>
      <c r="Z49" s="111" t="s">
        <v>125</v>
      </c>
      <c r="AA49" s="111"/>
      <c r="AB49" s="204"/>
      <c r="AC49" s="635"/>
      <c r="AD49" s="627"/>
      <c r="AE49" s="627"/>
      <c r="AF49" s="627"/>
      <c r="AG49" s="628"/>
      <c r="AH49" s="281">
        <f>SUM(AC50:AC51)</f>
        <v>1.6933000000000002</v>
      </c>
      <c r="AI49" s="722"/>
      <c r="AJ49" s="630">
        <f>$AJ50+AJ51</f>
        <v>0.84665000000000012</v>
      </c>
      <c r="AK49" s="619">
        <f>$AH49-$L49</f>
        <v>0.81379300000000021</v>
      </c>
      <c r="AL49" s="619">
        <f>$AH49-$W49</f>
        <v>0.35712000000000033</v>
      </c>
      <c r="AM49" s="111" t="s">
        <v>125</v>
      </c>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c r="DJ49" s="16"/>
      <c r="DK49" s="16"/>
      <c r="DL49" s="16"/>
      <c r="DM49" s="16"/>
      <c r="DN49" s="16"/>
      <c r="DO49" s="16"/>
      <c r="DP49" s="16"/>
      <c r="DQ49" s="16"/>
      <c r="DR49" s="16"/>
      <c r="DS49" s="16"/>
      <c r="DT49" s="16"/>
      <c r="DU49" s="16"/>
      <c r="DV49" s="16"/>
      <c r="DW49" s="16"/>
      <c r="DX49" s="16"/>
      <c r="DY49" s="16"/>
    </row>
    <row r="50" spans="1:129" s="8" customFormat="1" ht="30" customHeight="1" thickBot="1" x14ac:dyDescent="0.25">
      <c r="A50" s="19"/>
      <c r="B50" s="724"/>
      <c r="C50" s="1027" t="s">
        <v>101</v>
      </c>
      <c r="D50" s="1028"/>
      <c r="E50" s="103"/>
      <c r="F50" s="454">
        <f>706/1000</f>
        <v>0.70599999999999996</v>
      </c>
      <c r="G50" s="415"/>
      <c r="H50" s="399"/>
      <c r="I50" s="399"/>
      <c r="J50" s="399"/>
      <c r="K50" s="400"/>
      <c r="L50" s="401"/>
      <c r="M50" s="402"/>
      <c r="N50" s="212"/>
      <c r="O50"/>
      <c r="P50" s="66">
        <f>706/1000</f>
        <v>0.70599999999999996</v>
      </c>
      <c r="Q50" s="454">
        <f>706/1000</f>
        <v>0.70599999999999996</v>
      </c>
      <c r="R50" s="132">
        <f>'Données de consommation'!H51*'Emissions 2010_2014_2017'!Q50</f>
        <v>1.2707999999999999</v>
      </c>
      <c r="S50" s="302"/>
      <c r="T50" s="302"/>
      <c r="U50" s="302"/>
      <c r="V50" s="303"/>
      <c r="W50" s="313">
        <f>SUM($R50:$V50)</f>
        <v>1.2707999999999999</v>
      </c>
      <c r="X50" s="590">
        <v>0.5</v>
      </c>
      <c r="Y50" s="136">
        <f>$W50*$X50</f>
        <v>0.63539999999999996</v>
      </c>
      <c r="Z50" s="19"/>
      <c r="AA50" s="19"/>
      <c r="AB50" s="454">
        <f>706/1000</f>
        <v>0.70599999999999996</v>
      </c>
      <c r="AC50" s="619">
        <f>'Données de consommation'!K51*'Emissions 2010_2014_2017'!AB50</f>
        <v>1.5532000000000001</v>
      </c>
      <c r="AD50" s="606"/>
      <c r="AE50" s="606"/>
      <c r="AF50" s="606"/>
      <c r="AG50" s="607"/>
      <c r="AH50" s="520">
        <f>SUM($AC50:$AG50)</f>
        <v>1.5532000000000001</v>
      </c>
      <c r="AI50" s="617">
        <v>0.5</v>
      </c>
      <c r="AJ50" s="618">
        <f>$AH50*$AI50</f>
        <v>0.77660000000000007</v>
      </c>
      <c r="AK50" s="721"/>
      <c r="AL50" s="619">
        <f>$AH50-$W50</f>
        <v>0.28240000000000021</v>
      </c>
      <c r="AM50" s="19"/>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c r="DB50" s="16"/>
      <c r="DC50" s="16"/>
      <c r="DD50" s="16"/>
      <c r="DE50" s="16"/>
      <c r="DF50" s="16"/>
      <c r="DG50" s="16"/>
      <c r="DH50" s="16"/>
      <c r="DI50" s="16"/>
      <c r="DJ50" s="16"/>
      <c r="DK50" s="16"/>
      <c r="DL50" s="16"/>
      <c r="DM50" s="16"/>
      <c r="DN50" s="16"/>
      <c r="DO50" s="16"/>
      <c r="DP50" s="16"/>
      <c r="DQ50" s="16"/>
      <c r="DR50" s="16"/>
      <c r="DS50" s="16"/>
      <c r="DT50" s="16"/>
      <c r="DU50" s="16"/>
      <c r="DV50" s="16"/>
      <c r="DW50" s="16"/>
      <c r="DX50" s="16"/>
      <c r="DY50" s="16"/>
    </row>
    <row r="51" spans="1:129" s="8" customFormat="1" ht="27.75" customHeight="1" thickBot="1" x14ac:dyDescent="0.25">
      <c r="A51" s="19"/>
      <c r="B51" s="724"/>
      <c r="C51" s="1027" t="s">
        <v>103</v>
      </c>
      <c r="D51" s="1028"/>
      <c r="E51" s="255"/>
      <c r="F51" s="454">
        <f>934/1000</f>
        <v>0.93400000000000005</v>
      </c>
      <c r="G51" s="416"/>
      <c r="H51" s="404"/>
      <c r="I51" s="417"/>
      <c r="J51" s="404"/>
      <c r="K51" s="405"/>
      <c r="L51" s="406"/>
      <c r="M51" s="407"/>
      <c r="N51" s="212"/>
      <c r="O51"/>
      <c r="P51" s="254">
        <f>934/1000</f>
        <v>0.93400000000000005</v>
      </c>
      <c r="Q51" s="454">
        <f>934/1000</f>
        <v>0.93400000000000005</v>
      </c>
      <c r="R51" s="305">
        <f>'Données de consommation'!H52*'Emissions 2010_2014_2017'!Q51</f>
        <v>6.5380000000000008E-2</v>
      </c>
      <c r="S51" s="306"/>
      <c r="T51" s="306"/>
      <c r="U51" s="306"/>
      <c r="V51" s="307"/>
      <c r="W51" s="314">
        <f>SUM($R51:$V51)</f>
        <v>6.5380000000000008E-2</v>
      </c>
      <c r="X51" s="590">
        <v>0.5</v>
      </c>
      <c r="Y51" s="301">
        <f>$W51*$X51</f>
        <v>3.2690000000000004E-2</v>
      </c>
      <c r="Z51" s="19"/>
      <c r="AA51" s="19"/>
      <c r="AB51" s="454">
        <f>934/1000</f>
        <v>0.93400000000000005</v>
      </c>
      <c r="AC51" s="631">
        <f>'Données de consommation'!K52*'Emissions 2010_2014_2017'!AB51</f>
        <v>0.1401</v>
      </c>
      <c r="AD51" s="624"/>
      <c r="AE51" s="624"/>
      <c r="AF51" s="624"/>
      <c r="AG51" s="625"/>
      <c r="AH51" s="520">
        <f>SUM($AC51:$AG51)</f>
        <v>0.1401</v>
      </c>
      <c r="AI51" s="617">
        <v>0.5</v>
      </c>
      <c r="AJ51" s="633">
        <f>$AH51*$AI51</f>
        <v>7.0050000000000001E-2</v>
      </c>
      <c r="AK51" s="703"/>
      <c r="AL51" s="619">
        <f>$AH51-$W51</f>
        <v>7.4719999999999995E-2</v>
      </c>
      <c r="AM51" s="19"/>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6"/>
      <c r="DG51" s="16"/>
      <c r="DH51" s="16"/>
      <c r="DI51" s="16"/>
      <c r="DJ51" s="16"/>
      <c r="DK51" s="16"/>
      <c r="DL51" s="16"/>
      <c r="DM51" s="16"/>
      <c r="DN51" s="16"/>
      <c r="DO51" s="16"/>
      <c r="DP51" s="16"/>
      <c r="DQ51" s="16"/>
      <c r="DR51" s="16"/>
      <c r="DS51" s="16"/>
      <c r="DT51" s="16"/>
      <c r="DU51" s="16"/>
      <c r="DV51" s="16"/>
      <c r="DW51" s="16"/>
      <c r="DX51" s="16"/>
      <c r="DY51" s="16"/>
    </row>
    <row r="52" spans="1:129" s="8" customFormat="1" ht="12.75" customHeight="1" thickBot="1" x14ac:dyDescent="0.25">
      <c r="A52" s="19"/>
      <c r="B52" s="724"/>
      <c r="C52" s="1098" t="s">
        <v>25</v>
      </c>
      <c r="D52" s="1099"/>
      <c r="E52" s="256"/>
      <c r="F52" s="257" t="s">
        <v>94</v>
      </c>
      <c r="G52" s="418"/>
      <c r="H52" s="419"/>
      <c r="I52" s="419"/>
      <c r="J52" s="419"/>
      <c r="K52" s="420"/>
      <c r="L52" s="421"/>
      <c r="M52" s="422"/>
      <c r="N52" s="212"/>
      <c r="O52"/>
      <c r="P52" s="257"/>
      <c r="Q52" s="257" t="s">
        <v>94</v>
      </c>
      <c r="R52" s="262"/>
      <c r="S52" s="263"/>
      <c r="T52" s="263"/>
      <c r="U52" s="263"/>
      <c r="V52" s="264"/>
      <c r="W52" s="273"/>
      <c r="X52" s="271"/>
      <c r="Y52" s="265"/>
      <c r="Z52" s="19"/>
      <c r="AA52" s="19"/>
      <c r="AB52" s="602" t="s">
        <v>94</v>
      </c>
      <c r="AC52" s="716"/>
      <c r="AD52" s="717"/>
      <c r="AE52" s="717"/>
      <c r="AF52" s="717"/>
      <c r="AG52" s="718"/>
      <c r="AH52" s="707"/>
      <c r="AI52" s="719"/>
      <c r="AJ52" s="720"/>
      <c r="AK52" s="710"/>
      <c r="AL52" s="710"/>
      <c r="AM52" s="19"/>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c r="DR52" s="16"/>
      <c r="DS52" s="16"/>
      <c r="DT52" s="16"/>
      <c r="DU52" s="16"/>
      <c r="DV52" s="16"/>
      <c r="DW52" s="16"/>
      <c r="DX52" s="16"/>
      <c r="DY52" s="16"/>
    </row>
    <row r="53" spans="1:129" s="8" customFormat="1" ht="24.75" customHeight="1" x14ac:dyDescent="0.2">
      <c r="A53" s="19"/>
      <c r="B53" s="725"/>
      <c r="C53" s="1027" t="s">
        <v>195</v>
      </c>
      <c r="D53" s="1028"/>
      <c r="E53" s="468">
        <f>0.219/1000</f>
        <v>2.1900000000000001E-4</v>
      </c>
      <c r="F53" s="596">
        <f>0.259/1000</f>
        <v>2.5900000000000001E-4</v>
      </c>
      <c r="G53" s="380">
        <f>'Données de consommation'!E54*'Emissions 2010_2014_2017'!$F53</f>
        <v>633.13953477272719</v>
      </c>
      <c r="H53" s="381"/>
      <c r="I53" s="381"/>
      <c r="J53" s="381"/>
      <c r="K53" s="382"/>
      <c r="L53" s="383">
        <f t="shared" ref="L53:L58" si="10">SUM(G53:K53)</f>
        <v>633.13953477272719</v>
      </c>
      <c r="M53" s="387">
        <f>0.2*L53</f>
        <v>126.62790695454544</v>
      </c>
      <c r="N53" s="29"/>
      <c r="O53"/>
      <c r="P53" s="886">
        <f>0.259/1000</f>
        <v>2.5900000000000001E-4</v>
      </c>
      <c r="Q53" s="596">
        <f>0.259/1000</f>
        <v>2.5900000000000001E-4</v>
      </c>
      <c r="R53" s="380">
        <f>'Données de consommation'!H54*'Emissions 2010_2014_2017'!$Q53</f>
        <v>721.21849434782609</v>
      </c>
      <c r="S53" s="304"/>
      <c r="T53" s="304"/>
      <c r="U53" s="304"/>
      <c r="V53" s="142"/>
      <c r="W53" s="291">
        <f t="shared" ref="W53:W58" si="11">SUM($R53:$V53)</f>
        <v>721.21849434782609</v>
      </c>
      <c r="X53" s="887">
        <v>0.2</v>
      </c>
      <c r="Y53" s="888">
        <f t="shared" ref="Y53:Y58" si="12">W53*X53</f>
        <v>144.24369886956524</v>
      </c>
      <c r="Z53" s="19"/>
      <c r="AA53" s="19"/>
      <c r="AB53" s="889">
        <f>0.259/1000</f>
        <v>2.5900000000000001E-4</v>
      </c>
      <c r="AC53" s="894">
        <f>'Données de consommation'!K54*'Emissions 2010_2014_2017'!$AB53</f>
        <v>735.29105033510064</v>
      </c>
      <c r="AD53" s="611"/>
      <c r="AE53" s="611"/>
      <c r="AF53" s="611"/>
      <c r="AG53" s="612"/>
      <c r="AH53" s="893">
        <f>SUM($AC53:$AG53)</f>
        <v>735.29105033510064</v>
      </c>
      <c r="AI53" s="890">
        <v>0.2</v>
      </c>
      <c r="AJ53" s="891">
        <f>AH53*AI53</f>
        <v>147.05821006702013</v>
      </c>
      <c r="AK53" s="605">
        <f t="shared" ref="AK53:AK58" si="13">$AH53-$L53</f>
        <v>102.15151556237345</v>
      </c>
      <c r="AL53" s="605">
        <f t="shared" ref="AL53:AL58" si="14">$AH53-$W53</f>
        <v>14.072555987274541</v>
      </c>
      <c r="AM53" s="19"/>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c r="CT53" s="16"/>
      <c r="CU53" s="16"/>
      <c r="CV53" s="16"/>
      <c r="CW53" s="16"/>
      <c r="CX53" s="16"/>
      <c r="CY53" s="16"/>
      <c r="CZ53" s="16"/>
      <c r="DA53" s="16"/>
      <c r="DB53" s="16"/>
      <c r="DC53" s="16"/>
      <c r="DD53" s="16"/>
      <c r="DE53" s="16"/>
      <c r="DF53" s="16"/>
      <c r="DG53" s="16"/>
      <c r="DH53" s="16"/>
      <c r="DI53" s="16"/>
      <c r="DJ53" s="16"/>
      <c r="DK53" s="16"/>
      <c r="DL53" s="16"/>
      <c r="DM53" s="16"/>
      <c r="DN53" s="16"/>
      <c r="DO53" s="16"/>
      <c r="DP53" s="16"/>
      <c r="DQ53" s="16"/>
      <c r="DR53" s="16"/>
      <c r="DS53" s="16"/>
      <c r="DT53" s="16"/>
      <c r="DU53" s="16"/>
      <c r="DV53" s="16"/>
      <c r="DW53" s="16"/>
      <c r="DX53" s="16"/>
      <c r="DY53" s="16"/>
    </row>
    <row r="54" spans="1:129" s="8" customFormat="1" ht="25.5" customHeight="1" x14ac:dyDescent="0.2">
      <c r="A54" s="19"/>
      <c r="B54" s="725"/>
      <c r="C54" s="1027" t="s">
        <v>196</v>
      </c>
      <c r="D54" s="1028"/>
      <c r="E54" s="468">
        <f>0.00262928662281002*44/12000</f>
        <v>9.6407176169700732E-6</v>
      </c>
      <c r="F54" s="596">
        <f>0.00369/1000</f>
        <v>3.6900000000000002E-6</v>
      </c>
      <c r="G54" s="380">
        <f>'Données de consommation'!E55*'Emissions 2010_2014_2017'!$F54</f>
        <v>1.817059990909091</v>
      </c>
      <c r="H54" s="381"/>
      <c r="I54" s="381"/>
      <c r="J54" s="381"/>
      <c r="K54" s="382"/>
      <c r="L54" s="383">
        <f t="shared" si="10"/>
        <v>1.817059990909091</v>
      </c>
      <c r="M54" s="387">
        <f>0.6*L54</f>
        <v>1.0902359945454545</v>
      </c>
      <c r="N54" s="29"/>
      <c r="O54"/>
      <c r="P54" s="62">
        <f>0.00369/1000</f>
        <v>3.6900000000000002E-6</v>
      </c>
      <c r="Q54" s="596">
        <f>0.00369/1000</f>
        <v>3.6900000000000002E-6</v>
      </c>
      <c r="R54" s="380">
        <f>'Données de consommation'!H55*'Emissions 2010_2014_2017'!$Q54</f>
        <v>1.4507947330434785</v>
      </c>
      <c r="S54" s="304"/>
      <c r="T54" s="304"/>
      <c r="U54" s="304"/>
      <c r="V54" s="142"/>
      <c r="W54" s="291">
        <f t="shared" si="11"/>
        <v>1.4507947330434785</v>
      </c>
      <c r="X54" s="887">
        <v>0.6</v>
      </c>
      <c r="Y54" s="888">
        <f t="shared" si="12"/>
        <v>0.87047683982608703</v>
      </c>
      <c r="Z54" s="19"/>
      <c r="AA54" s="19"/>
      <c r="AB54" s="892">
        <f>0.00369/1000</f>
        <v>3.6900000000000002E-6</v>
      </c>
      <c r="AC54" s="894">
        <f>'Données de consommation'!K55*'Emissions 2010_2014_2017'!$AB54</f>
        <v>1.4791029229565218</v>
      </c>
      <c r="AD54" s="611"/>
      <c r="AE54" s="611"/>
      <c r="AF54" s="611"/>
      <c r="AG54" s="612"/>
      <c r="AH54" s="893">
        <f>SUM($AC54:$AG54)</f>
        <v>1.4791029229565218</v>
      </c>
      <c r="AI54" s="890">
        <v>0.6</v>
      </c>
      <c r="AJ54" s="891">
        <f>AH54*AI54</f>
        <v>0.88746175377391301</v>
      </c>
      <c r="AK54" s="605">
        <f t="shared" si="13"/>
        <v>-0.33795706795256919</v>
      </c>
      <c r="AL54" s="605">
        <f t="shared" si="14"/>
        <v>2.8308189913043291E-2</v>
      </c>
      <c r="AM54" s="19"/>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6"/>
      <c r="CI54" s="16"/>
      <c r="CJ54" s="16"/>
      <c r="CK54" s="16"/>
      <c r="CL54" s="16"/>
      <c r="CM54" s="16"/>
      <c r="CN54" s="16"/>
      <c r="CO54" s="16"/>
      <c r="CP54" s="16"/>
      <c r="CQ54" s="16"/>
      <c r="CR54" s="16"/>
      <c r="CS54" s="16"/>
      <c r="CT54" s="16"/>
      <c r="CU54" s="16"/>
      <c r="CV54" s="16"/>
      <c r="CW54" s="16"/>
      <c r="CX54" s="16"/>
      <c r="CY54" s="16"/>
      <c r="CZ54" s="16"/>
      <c r="DA54" s="16"/>
      <c r="DB54" s="16"/>
      <c r="DC54" s="16"/>
      <c r="DD54" s="16"/>
      <c r="DE54" s="16"/>
      <c r="DF54" s="16"/>
      <c r="DG54" s="16"/>
      <c r="DH54" s="16"/>
      <c r="DI54" s="16"/>
      <c r="DJ54" s="16"/>
      <c r="DK54" s="16"/>
      <c r="DL54" s="16"/>
      <c r="DM54" s="16"/>
      <c r="DN54" s="16"/>
      <c r="DO54" s="16"/>
      <c r="DP54" s="16"/>
      <c r="DQ54" s="16"/>
      <c r="DR54" s="16"/>
      <c r="DS54" s="16"/>
      <c r="DT54" s="16"/>
      <c r="DU54" s="16"/>
      <c r="DV54" s="16"/>
      <c r="DW54" s="16"/>
      <c r="DX54" s="16"/>
      <c r="DY54" s="16"/>
    </row>
    <row r="55" spans="1:129" s="8" customFormat="1" ht="26.25" customHeight="1" x14ac:dyDescent="0.2">
      <c r="A55" s="19"/>
      <c r="B55" s="725"/>
      <c r="C55" s="1027" t="s">
        <v>197</v>
      </c>
      <c r="D55" s="1028"/>
      <c r="E55" s="468">
        <f>0.0272*44/12000</f>
        <v>9.9733333333333323E-5</v>
      </c>
      <c r="F55" s="449">
        <f>0.154/1000</f>
        <v>1.54E-4</v>
      </c>
      <c r="G55" s="380">
        <f>'Données de consommation'!E56*'Emissions 2010_2014_2017'!$F55</f>
        <v>59.375475000000009</v>
      </c>
      <c r="H55" s="381"/>
      <c r="I55" s="381"/>
      <c r="J55" s="381"/>
      <c r="K55" s="382"/>
      <c r="L55" s="383">
        <f t="shared" si="10"/>
        <v>59.375475000000009</v>
      </c>
      <c r="M55" s="387">
        <f>0.6*L55</f>
        <v>35.625285000000005</v>
      </c>
      <c r="N55" s="29"/>
      <c r="O55"/>
      <c r="P55" s="62">
        <f>0.154/1000</f>
        <v>1.54E-4</v>
      </c>
      <c r="Q55" s="449">
        <f>0.154/1000</f>
        <v>1.54E-4</v>
      </c>
      <c r="R55" s="380">
        <f>'Données de consommation'!H56*'Emissions 2010_2014_2017'!$Q55</f>
        <v>59.120613391304346</v>
      </c>
      <c r="S55" s="304"/>
      <c r="T55" s="304"/>
      <c r="U55" s="304"/>
      <c r="V55" s="142"/>
      <c r="W55" s="291">
        <f t="shared" si="11"/>
        <v>59.120613391304346</v>
      </c>
      <c r="X55" s="887">
        <v>0.6</v>
      </c>
      <c r="Y55" s="888">
        <f t="shared" si="12"/>
        <v>35.472368034782605</v>
      </c>
      <c r="Z55" s="19"/>
      <c r="AA55" s="19"/>
      <c r="AB55" s="449">
        <f>0.154/1000</f>
        <v>1.54E-4</v>
      </c>
      <c r="AC55" s="894">
        <f>'Données de consommation'!K56*'Emissions 2010_2014_2017'!$AB55</f>
        <v>60.274186335524931</v>
      </c>
      <c r="AD55" s="611"/>
      <c r="AE55" s="611"/>
      <c r="AF55" s="611"/>
      <c r="AG55" s="612"/>
      <c r="AH55" s="893">
        <f>SUM($AC55:$AG55)</f>
        <v>60.274186335524931</v>
      </c>
      <c r="AI55" s="890">
        <v>0.6</v>
      </c>
      <c r="AJ55" s="891">
        <f>AH55*AI55</f>
        <v>36.164511801314958</v>
      </c>
      <c r="AK55" s="605">
        <f t="shared" si="13"/>
        <v>0.89871133552492211</v>
      </c>
      <c r="AL55" s="605">
        <f t="shared" si="14"/>
        <v>1.1535729442205849</v>
      </c>
      <c r="AM55" s="19"/>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DU55" s="16"/>
      <c r="DV55" s="16"/>
      <c r="DW55" s="16"/>
      <c r="DX55" s="16"/>
      <c r="DY55" s="16"/>
    </row>
    <row r="56" spans="1:129" s="8" customFormat="1" ht="26.25" customHeight="1" x14ac:dyDescent="0.2">
      <c r="A56" s="19"/>
      <c r="B56" s="725"/>
      <c r="C56" s="1027" t="s">
        <v>198</v>
      </c>
      <c r="D56" s="1028"/>
      <c r="E56" s="468">
        <f>0.016*44/12000</f>
        <v>5.8666666666666665E-5</v>
      </c>
      <c r="F56" s="449">
        <f>0.204/1000</f>
        <v>2.04E-4</v>
      </c>
      <c r="G56" s="380">
        <f>'Données de consommation'!E57*'Emissions 2010_2014_2017'!$F56</f>
        <v>6.4394454545454547</v>
      </c>
      <c r="H56" s="381"/>
      <c r="I56" s="381"/>
      <c r="J56" s="381"/>
      <c r="K56" s="382"/>
      <c r="L56" s="383">
        <f t="shared" si="10"/>
        <v>6.4394454545454547</v>
      </c>
      <c r="M56" s="387">
        <f>0.6*L56</f>
        <v>3.8636672727272727</v>
      </c>
      <c r="N56" s="29"/>
      <c r="O56"/>
      <c r="P56" s="62">
        <f>0.204/1000</f>
        <v>2.04E-4</v>
      </c>
      <c r="Q56" s="449">
        <f>0.204/1000</f>
        <v>2.04E-4</v>
      </c>
      <c r="R56" s="380">
        <f>'Données de consommation'!H57*'Emissions 2010_2014_2017'!$Q56</f>
        <v>5.5151843478260867</v>
      </c>
      <c r="S56" s="304"/>
      <c r="T56" s="304"/>
      <c r="U56" s="304"/>
      <c r="V56" s="142"/>
      <c r="W56" s="291">
        <f t="shared" si="11"/>
        <v>5.5151843478260867</v>
      </c>
      <c r="X56" s="887">
        <v>0.6</v>
      </c>
      <c r="Y56" s="888">
        <f t="shared" si="12"/>
        <v>3.3091106086956521</v>
      </c>
      <c r="Z56" s="19"/>
      <c r="AA56" s="19"/>
      <c r="AB56" s="449">
        <f>0.204/1000</f>
        <v>2.04E-4</v>
      </c>
      <c r="AC56" s="894">
        <f>'Données de consommation'!K57*'Emissions 2010_2014_2017'!$AB56</f>
        <v>5.6227977009544006</v>
      </c>
      <c r="AD56" s="611"/>
      <c r="AE56" s="611"/>
      <c r="AF56" s="611"/>
      <c r="AG56" s="612"/>
      <c r="AH56" s="893">
        <f>SUM($AC56:$AG56)</f>
        <v>5.6227977009544006</v>
      </c>
      <c r="AI56" s="890">
        <v>0.6</v>
      </c>
      <c r="AJ56" s="891">
        <f>AH56*AI56</f>
        <v>3.3736786205726403</v>
      </c>
      <c r="AK56" s="605">
        <f t="shared" si="13"/>
        <v>-0.81664775359105413</v>
      </c>
      <c r="AL56" s="605">
        <f t="shared" si="14"/>
        <v>0.10761335312831388</v>
      </c>
      <c r="AM56" s="19"/>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c r="DJ56" s="16"/>
      <c r="DK56" s="16"/>
      <c r="DL56" s="16"/>
      <c r="DM56" s="16"/>
      <c r="DN56" s="16"/>
      <c r="DO56" s="16"/>
      <c r="DP56" s="16"/>
      <c r="DQ56" s="16"/>
      <c r="DR56" s="16"/>
      <c r="DS56" s="16"/>
      <c r="DT56" s="16"/>
      <c r="DU56" s="16"/>
      <c r="DV56" s="16"/>
      <c r="DW56" s="16"/>
      <c r="DX56" s="16"/>
      <c r="DY56" s="16"/>
    </row>
    <row r="57" spans="1:129" s="8" customFormat="1" ht="13.5" thickBot="1" x14ac:dyDescent="0.25">
      <c r="A57" s="19"/>
      <c r="B57" s="725"/>
      <c r="C57" s="1094" t="s">
        <v>39</v>
      </c>
      <c r="D57" s="1095"/>
      <c r="E57" s="495">
        <f>0.00262928662281002*44/12000</f>
        <v>9.6407176169700732E-6</v>
      </c>
      <c r="F57" s="596">
        <f>0.00369/1000</f>
        <v>3.6900000000000002E-6</v>
      </c>
      <c r="G57" s="380">
        <f>F57*'Données de consommation'!$E58</f>
        <v>4.2956443125000003</v>
      </c>
      <c r="H57" s="381"/>
      <c r="I57" s="381"/>
      <c r="J57" s="381"/>
      <c r="K57" s="382"/>
      <c r="L57" s="383">
        <f t="shared" si="10"/>
        <v>4.2956443125000003</v>
      </c>
      <c r="M57" s="424">
        <f>0.6*L57</f>
        <v>2.5773865874999999</v>
      </c>
      <c r="N57" s="212"/>
      <c r="O57"/>
      <c r="P57" s="829">
        <f>0.00369/1000</f>
        <v>3.6900000000000002E-6</v>
      </c>
      <c r="Q57" s="863">
        <f>0.00369/1000</f>
        <v>3.6900000000000002E-6</v>
      </c>
      <c r="R57" s="830">
        <f>'Données de consommation'!H58*'Emissions 2010_2014_2017'!Q57</f>
        <v>2.0888082629999998</v>
      </c>
      <c r="S57" s="308"/>
      <c r="T57" s="308"/>
      <c r="U57" s="308"/>
      <c r="V57" s="152"/>
      <c r="W57" s="831">
        <f t="shared" si="11"/>
        <v>2.0888082629999998</v>
      </c>
      <c r="X57" s="832">
        <v>0.6</v>
      </c>
      <c r="Y57" s="864">
        <f t="shared" si="12"/>
        <v>1.2532849577999998</v>
      </c>
      <c r="Z57" s="19"/>
      <c r="AA57" s="19"/>
      <c r="AB57" s="870">
        <f>0.00369/1000</f>
        <v>3.6900000000000002E-6</v>
      </c>
      <c r="AC57" s="871">
        <f>'Données de consommation'!K58*'Emissions 2010_2014_2017'!AB57</f>
        <v>1.5071611644</v>
      </c>
      <c r="AD57" s="620"/>
      <c r="AE57" s="620"/>
      <c r="AF57" s="620"/>
      <c r="AG57" s="621"/>
      <c r="AH57" s="835">
        <f>SUM($AC57:$AG57)</f>
        <v>1.5071611644</v>
      </c>
      <c r="AI57" s="872">
        <v>0.6</v>
      </c>
      <c r="AJ57" s="623">
        <f>AH57*AI57</f>
        <v>0.90429669863999995</v>
      </c>
      <c r="AK57" s="873">
        <f t="shared" si="13"/>
        <v>-2.7884831481000001</v>
      </c>
      <c r="AL57" s="873">
        <f t="shared" si="14"/>
        <v>-0.58164709859999975</v>
      </c>
      <c r="AM57" s="19"/>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c r="DI57" s="16"/>
      <c r="DJ57" s="16"/>
      <c r="DK57" s="16"/>
      <c r="DL57" s="16"/>
      <c r="DM57" s="16"/>
      <c r="DN57" s="16"/>
      <c r="DO57" s="16"/>
      <c r="DP57" s="16"/>
      <c r="DQ57" s="16"/>
      <c r="DR57" s="16"/>
      <c r="DS57" s="16"/>
      <c r="DT57" s="16"/>
      <c r="DU57" s="16"/>
      <c r="DV57" s="16"/>
      <c r="DW57" s="16"/>
      <c r="DX57" s="16"/>
      <c r="DY57" s="16"/>
    </row>
    <row r="58" spans="1:129" s="8" customFormat="1" ht="13.5" thickBot="1" x14ac:dyDescent="0.25">
      <c r="A58" s="19"/>
      <c r="B58" s="725"/>
      <c r="C58" s="1059" t="s">
        <v>40</v>
      </c>
      <c r="D58" s="1060"/>
      <c r="E58" s="473">
        <f>0.2505/1000</f>
        <v>2.5050000000000002E-4</v>
      </c>
      <c r="F58" s="492">
        <f>0.251/1000</f>
        <v>2.5099999999999998E-4</v>
      </c>
      <c r="G58" s="776">
        <f>F58*'Données de consommation'!E59</f>
        <v>159.02761150705265</v>
      </c>
      <c r="H58" s="777"/>
      <c r="I58" s="777"/>
      <c r="J58" s="777"/>
      <c r="K58" s="778"/>
      <c r="L58" s="423">
        <f t="shared" si="10"/>
        <v>159.02761150705265</v>
      </c>
      <c r="M58" s="862">
        <f>0.5*L58</f>
        <v>79.513805753526327</v>
      </c>
      <c r="N58" s="212"/>
      <c r="O58"/>
      <c r="P58" s="865">
        <f>0.251/1000</f>
        <v>2.5099999999999998E-4</v>
      </c>
      <c r="Q58" s="866">
        <f>0.251/1000</f>
        <v>2.5099999999999998E-4</v>
      </c>
      <c r="R58" s="867">
        <f>'Données de consommation'!H59*'Emissions 2010_2014_2017'!Q58</f>
        <v>201.68866549999998</v>
      </c>
      <c r="S58" s="309"/>
      <c r="T58" s="309"/>
      <c r="U58" s="309"/>
      <c r="V58" s="154"/>
      <c r="W58" s="295">
        <f t="shared" si="11"/>
        <v>201.68866549999998</v>
      </c>
      <c r="X58" s="868">
        <v>0.5</v>
      </c>
      <c r="Y58" s="869">
        <f t="shared" si="12"/>
        <v>100.84433274999999</v>
      </c>
      <c r="Z58" s="19"/>
      <c r="AA58" s="19"/>
      <c r="AB58" s="874"/>
      <c r="AC58" s="875"/>
      <c r="AD58" s="876"/>
      <c r="AE58" s="876"/>
      <c r="AF58" s="876"/>
      <c r="AG58" s="877"/>
      <c r="AH58" s="283">
        <f>SUM($AH59:$AH70)</f>
        <v>230.35702631999999</v>
      </c>
      <c r="AI58" s="878"/>
      <c r="AJ58" s="879">
        <f>SUM(AJ59:AJ70)</f>
        <v>115.17851315999999</v>
      </c>
      <c r="AK58" s="880">
        <f t="shared" si="13"/>
        <v>71.329414812947334</v>
      </c>
      <c r="AL58" s="881">
        <f t="shared" si="14"/>
        <v>28.668360820000004</v>
      </c>
      <c r="AM58" s="19"/>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row>
    <row r="59" spans="1:129" s="8" customFormat="1" ht="25.5" x14ac:dyDescent="0.2">
      <c r="A59" s="19"/>
      <c r="B59" s="725"/>
      <c r="C59" s="1032" t="s">
        <v>40</v>
      </c>
      <c r="D59" s="730" t="s">
        <v>150</v>
      </c>
      <c r="E59" s="784"/>
      <c r="F59" s="785">
        <f>0.293/1000</f>
        <v>2.9299999999999997E-4</v>
      </c>
      <c r="G59" s="786"/>
      <c r="H59" s="787"/>
      <c r="I59" s="787"/>
      <c r="J59" s="787"/>
      <c r="K59" s="788"/>
      <c r="L59" s="789"/>
      <c r="M59" s="790"/>
      <c r="N59" s="212"/>
      <c r="O59"/>
      <c r="P59" s="822"/>
      <c r="Q59" s="785">
        <f>0.293/1000</f>
        <v>2.9299999999999997E-4</v>
      </c>
      <c r="R59" s="823"/>
      <c r="S59" s="824"/>
      <c r="T59" s="824"/>
      <c r="U59" s="824"/>
      <c r="V59" s="825"/>
      <c r="W59" s="826"/>
      <c r="X59" s="827"/>
      <c r="Y59" s="833"/>
      <c r="Z59" s="19"/>
      <c r="AA59" s="19"/>
      <c r="AB59" s="785">
        <f>0.293/1000</f>
        <v>2.9299999999999997E-4</v>
      </c>
      <c r="AC59" s="837">
        <f>'Données de consommation'!K60*'Emissions 2010_2014_2017'!AB59</f>
        <v>19.726078499999996</v>
      </c>
      <c r="AD59" s="627"/>
      <c r="AE59" s="627"/>
      <c r="AF59" s="627"/>
      <c r="AG59" s="628"/>
      <c r="AH59" s="279">
        <f>SUM(AC59:AG59)</f>
        <v>19.726078499999996</v>
      </c>
      <c r="AI59" s="608">
        <v>0.5</v>
      </c>
      <c r="AJ59" s="838">
        <f>'Emissions 2010_2014_2017'!$AH59*'Emissions 2010_2014_2017'!$AI59</f>
        <v>9.8630392499999981</v>
      </c>
      <c r="AK59" s="839"/>
      <c r="AL59" s="840"/>
      <c r="AM59" s="19"/>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16"/>
      <c r="CQ59" s="16"/>
      <c r="CR59" s="16"/>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row>
    <row r="60" spans="1:129" s="8" customFormat="1" ht="38.25" x14ac:dyDescent="0.2">
      <c r="A60" s="19"/>
      <c r="B60" s="725"/>
      <c r="C60" s="1032"/>
      <c r="D60" s="18" t="s">
        <v>152</v>
      </c>
      <c r="E60" s="496"/>
      <c r="F60" s="449">
        <f>0.216/1000</f>
        <v>2.1599999999999999E-4</v>
      </c>
      <c r="G60" s="497"/>
      <c r="H60" s="498"/>
      <c r="I60" s="498"/>
      <c r="J60" s="498"/>
      <c r="K60" s="499"/>
      <c r="L60" s="500"/>
      <c r="M60" s="501"/>
      <c r="N60" s="212"/>
      <c r="O60"/>
      <c r="P60" s="502"/>
      <c r="Q60" s="449">
        <f>0.216/1000</f>
        <v>2.1599999999999999E-4</v>
      </c>
      <c r="R60" s="503"/>
      <c r="S60" s="504"/>
      <c r="T60" s="504"/>
      <c r="U60" s="504"/>
      <c r="V60" s="505"/>
      <c r="W60" s="506"/>
      <c r="X60" s="507"/>
      <c r="Y60" s="713"/>
      <c r="Z60" s="19"/>
      <c r="AA60" s="19"/>
      <c r="AB60" s="449">
        <f>0.216/1000</f>
        <v>2.1599999999999999E-4</v>
      </c>
      <c r="AC60" s="610">
        <f>'Données de consommation'!K61*'Emissions 2010_2014_2017'!AB60</f>
        <v>22.6600632</v>
      </c>
      <c r="AD60" s="611"/>
      <c r="AE60" s="611"/>
      <c r="AF60" s="611"/>
      <c r="AG60" s="612"/>
      <c r="AH60" s="280">
        <f t="shared" ref="AH60:AH70" si="15">SUM(AC60:AG60)</f>
        <v>22.6600632</v>
      </c>
      <c r="AI60" s="613">
        <v>0.5</v>
      </c>
      <c r="AJ60" s="636">
        <f>'Emissions 2010_2014_2017'!$AH60*'Emissions 2010_2014_2017'!$AI60</f>
        <v>11.3300316</v>
      </c>
      <c r="AK60" s="679"/>
      <c r="AL60" s="841"/>
      <c r="AM60" s="19"/>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c r="DJ60" s="16"/>
      <c r="DK60" s="16"/>
      <c r="DL60" s="16"/>
      <c r="DM60" s="16"/>
      <c r="DN60" s="16"/>
      <c r="DO60" s="16"/>
      <c r="DP60" s="16"/>
      <c r="DQ60" s="16"/>
      <c r="DR60" s="16"/>
      <c r="DS60" s="16"/>
      <c r="DT60" s="16"/>
      <c r="DU60" s="16"/>
      <c r="DV60" s="16"/>
      <c r="DW60" s="16"/>
      <c r="DX60" s="16"/>
      <c r="DY60" s="16"/>
    </row>
    <row r="61" spans="1:129" s="8" customFormat="1" ht="38.25" x14ac:dyDescent="0.2">
      <c r="A61" s="19"/>
      <c r="B61" s="725"/>
      <c r="C61" s="1032"/>
      <c r="D61" s="539" t="s">
        <v>151</v>
      </c>
      <c r="E61" s="496"/>
      <c r="F61" s="449">
        <f>0.209/1000</f>
        <v>2.0899999999999998E-4</v>
      </c>
      <c r="G61" s="497"/>
      <c r="H61" s="498"/>
      <c r="I61" s="498"/>
      <c r="J61" s="498"/>
      <c r="K61" s="499"/>
      <c r="L61" s="500"/>
      <c r="M61" s="501"/>
      <c r="N61" s="212"/>
      <c r="O61"/>
      <c r="P61" s="502"/>
      <c r="Q61" s="449">
        <f>0.209/1000</f>
        <v>2.0899999999999998E-4</v>
      </c>
      <c r="R61" s="503"/>
      <c r="S61" s="504"/>
      <c r="T61" s="504"/>
      <c r="U61" s="504"/>
      <c r="V61" s="505"/>
      <c r="W61" s="506"/>
      <c r="X61" s="507"/>
      <c r="Y61" s="713"/>
      <c r="Z61" s="19"/>
      <c r="AA61" s="19"/>
      <c r="AB61" s="449">
        <f>0.209/1000</f>
        <v>2.0899999999999998E-4</v>
      </c>
      <c r="AC61" s="610">
        <f>'Données de consommation'!K62*'Emissions 2010_2014_2017'!AB61</f>
        <v>5.2909603999999995</v>
      </c>
      <c r="AD61" s="611"/>
      <c r="AE61" s="611"/>
      <c r="AF61" s="611"/>
      <c r="AG61" s="612"/>
      <c r="AH61" s="280">
        <f t="shared" si="15"/>
        <v>5.2909603999999995</v>
      </c>
      <c r="AI61" s="613">
        <v>0.5</v>
      </c>
      <c r="AJ61" s="636">
        <f>'Emissions 2010_2014_2017'!$AH61*'Emissions 2010_2014_2017'!$AI61</f>
        <v>2.6454801999999997</v>
      </c>
      <c r="AK61" s="679"/>
      <c r="AL61" s="841"/>
      <c r="AM61" s="19"/>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c r="CN61" s="16"/>
      <c r="CO61" s="16"/>
      <c r="CP61" s="16"/>
      <c r="CQ61" s="16"/>
      <c r="CR61" s="16"/>
      <c r="CS61" s="16"/>
      <c r="CT61" s="16"/>
      <c r="CU61" s="16"/>
      <c r="CV61" s="16"/>
      <c r="CW61" s="16"/>
      <c r="CX61" s="16"/>
      <c r="CY61" s="16"/>
      <c r="CZ61" s="16"/>
      <c r="DA61" s="16"/>
      <c r="DB61" s="16"/>
      <c r="DC61" s="16"/>
      <c r="DD61" s="16"/>
      <c r="DE61" s="16"/>
      <c r="DF61" s="16"/>
      <c r="DG61" s="16"/>
      <c r="DH61" s="16"/>
      <c r="DI61" s="16"/>
      <c r="DJ61" s="16"/>
      <c r="DK61" s="16"/>
      <c r="DL61" s="16"/>
      <c r="DM61" s="16"/>
      <c r="DN61" s="16"/>
      <c r="DO61" s="16"/>
      <c r="DP61" s="16"/>
      <c r="DQ61" s="16"/>
      <c r="DR61" s="16"/>
      <c r="DS61" s="16"/>
      <c r="DT61" s="16"/>
      <c r="DU61" s="16"/>
      <c r="DV61" s="16"/>
      <c r="DW61" s="16"/>
      <c r="DX61" s="16"/>
      <c r="DY61" s="16"/>
    </row>
    <row r="62" spans="1:129" s="8" customFormat="1" ht="38.25" x14ac:dyDescent="0.2">
      <c r="A62" s="19"/>
      <c r="B62" s="725"/>
      <c r="C62" s="1032"/>
      <c r="D62" s="18" t="s">
        <v>153</v>
      </c>
      <c r="E62" s="496"/>
      <c r="F62" s="449">
        <f>0.251/1000</f>
        <v>2.5099999999999998E-4</v>
      </c>
      <c r="G62" s="497"/>
      <c r="H62" s="498"/>
      <c r="I62" s="498"/>
      <c r="J62" s="498"/>
      <c r="K62" s="499"/>
      <c r="L62" s="500"/>
      <c r="M62" s="501"/>
      <c r="N62" s="212"/>
      <c r="O62"/>
      <c r="P62" s="502"/>
      <c r="Q62" s="449">
        <f>0.251/1000</f>
        <v>2.5099999999999998E-4</v>
      </c>
      <c r="R62" s="503"/>
      <c r="S62" s="504"/>
      <c r="T62" s="504"/>
      <c r="U62" s="504"/>
      <c r="V62" s="505"/>
      <c r="W62" s="506"/>
      <c r="X62" s="507"/>
      <c r="Y62" s="713"/>
      <c r="Z62" s="19"/>
      <c r="AA62" s="19"/>
      <c r="AB62" s="449">
        <f>0.251/1000</f>
        <v>2.5099999999999998E-4</v>
      </c>
      <c r="AC62" s="610">
        <f>'Données de consommation'!K63*'Emissions 2010_2014_2017'!AB62</f>
        <v>0</v>
      </c>
      <c r="AD62" s="611"/>
      <c r="AE62" s="611"/>
      <c r="AF62" s="611"/>
      <c r="AG62" s="612"/>
      <c r="AH62" s="280">
        <f t="shared" si="15"/>
        <v>0</v>
      </c>
      <c r="AI62" s="613">
        <v>0.5</v>
      </c>
      <c r="AJ62" s="636">
        <f>'Emissions 2010_2014_2017'!$AH62*'Emissions 2010_2014_2017'!$AI62</f>
        <v>0</v>
      </c>
      <c r="AK62" s="679"/>
      <c r="AL62" s="841"/>
      <c r="AM62" s="19"/>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c r="CN62" s="16"/>
      <c r="CO62" s="16"/>
      <c r="CP62" s="16"/>
      <c r="CQ62" s="16"/>
      <c r="CR62" s="16"/>
      <c r="CS62" s="16"/>
      <c r="CT62" s="16"/>
      <c r="CU62" s="16"/>
      <c r="CV62" s="16"/>
      <c r="CW62" s="16"/>
      <c r="CX62" s="16"/>
      <c r="CY62" s="16"/>
      <c r="CZ62" s="16"/>
      <c r="DA62" s="16"/>
      <c r="DB62" s="16"/>
      <c r="DC62" s="16"/>
      <c r="DD62" s="16"/>
      <c r="DE62" s="16"/>
      <c r="DF62" s="16"/>
      <c r="DG62" s="16"/>
      <c r="DH62" s="16"/>
      <c r="DI62" s="16"/>
      <c r="DJ62" s="16"/>
      <c r="DK62" s="16"/>
      <c r="DL62" s="16"/>
      <c r="DM62" s="16"/>
      <c r="DN62" s="16"/>
      <c r="DO62" s="16"/>
      <c r="DP62" s="16"/>
      <c r="DQ62" s="16"/>
      <c r="DR62" s="16"/>
      <c r="DS62" s="16"/>
      <c r="DT62" s="16"/>
      <c r="DU62" s="16"/>
      <c r="DV62" s="16"/>
      <c r="DW62" s="16"/>
      <c r="DX62" s="16"/>
      <c r="DY62" s="16"/>
    </row>
    <row r="63" spans="1:129" s="8" customFormat="1" ht="38.25" x14ac:dyDescent="0.2">
      <c r="A63" s="19"/>
      <c r="B63" s="725"/>
      <c r="C63" s="1032"/>
      <c r="D63" s="18" t="s">
        <v>154</v>
      </c>
      <c r="E63" s="496"/>
      <c r="F63" s="449">
        <f>0.258/1000</f>
        <v>2.5799999999999998E-4</v>
      </c>
      <c r="G63" s="497"/>
      <c r="H63" s="498"/>
      <c r="I63" s="498"/>
      <c r="J63" s="498"/>
      <c r="K63" s="499"/>
      <c r="L63" s="500"/>
      <c r="M63" s="501"/>
      <c r="N63" s="212"/>
      <c r="O63"/>
      <c r="P63" s="502"/>
      <c r="Q63" s="449">
        <f>0.258/1000</f>
        <v>2.5799999999999998E-4</v>
      </c>
      <c r="R63" s="503"/>
      <c r="S63" s="504"/>
      <c r="T63" s="504"/>
      <c r="U63" s="504"/>
      <c r="V63" s="505"/>
      <c r="W63" s="506"/>
      <c r="X63" s="507"/>
      <c r="Y63" s="713"/>
      <c r="Z63" s="19"/>
      <c r="AA63" s="19"/>
      <c r="AB63" s="449">
        <f>0.258/1000</f>
        <v>2.5799999999999998E-4</v>
      </c>
      <c r="AC63" s="610">
        <f>'Données de consommation'!K64*'Emissions 2010_2014_2017'!AB63</f>
        <v>13.679118719999998</v>
      </c>
      <c r="AD63" s="611"/>
      <c r="AE63" s="611"/>
      <c r="AF63" s="611"/>
      <c r="AG63" s="612"/>
      <c r="AH63" s="280">
        <f t="shared" si="15"/>
        <v>13.679118719999998</v>
      </c>
      <c r="AI63" s="613">
        <v>0.5</v>
      </c>
      <c r="AJ63" s="636">
        <f>'Emissions 2010_2014_2017'!$AH63*'Emissions 2010_2014_2017'!$AI63</f>
        <v>6.8395593599999991</v>
      </c>
      <c r="AK63" s="679"/>
      <c r="AL63" s="841"/>
      <c r="AM63" s="19"/>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6"/>
      <c r="DG63" s="16"/>
      <c r="DH63" s="16"/>
      <c r="DI63" s="16"/>
      <c r="DJ63" s="16"/>
      <c r="DK63" s="16"/>
      <c r="DL63" s="16"/>
      <c r="DM63" s="16"/>
      <c r="DN63" s="16"/>
      <c r="DO63" s="16"/>
      <c r="DP63" s="16"/>
      <c r="DQ63" s="16"/>
      <c r="DR63" s="16"/>
      <c r="DS63" s="16"/>
      <c r="DT63" s="16"/>
      <c r="DU63" s="16"/>
      <c r="DV63" s="16"/>
      <c r="DW63" s="16"/>
      <c r="DX63" s="16"/>
      <c r="DY63" s="16"/>
    </row>
    <row r="64" spans="1:129" s="8" customFormat="1" ht="38.25" x14ac:dyDescent="0.2">
      <c r="A64" s="19"/>
      <c r="B64" s="725"/>
      <c r="C64" s="1032"/>
      <c r="D64" s="18" t="s">
        <v>155</v>
      </c>
      <c r="E64" s="496"/>
      <c r="F64" s="449">
        <f>0.223/1000</f>
        <v>2.23E-4</v>
      </c>
      <c r="G64" s="497"/>
      <c r="H64" s="498"/>
      <c r="I64" s="498"/>
      <c r="J64" s="498"/>
      <c r="K64" s="499"/>
      <c r="L64" s="500"/>
      <c r="M64" s="501"/>
      <c r="N64" s="212"/>
      <c r="O64"/>
      <c r="P64" s="502"/>
      <c r="Q64" s="449">
        <f>0.223/1000</f>
        <v>2.23E-4</v>
      </c>
      <c r="R64" s="503"/>
      <c r="S64" s="504"/>
      <c r="T64" s="504"/>
      <c r="U64" s="504"/>
      <c r="V64" s="505"/>
      <c r="W64" s="506"/>
      <c r="X64" s="507"/>
      <c r="Y64" s="713"/>
      <c r="Z64" s="19"/>
      <c r="AA64" s="19"/>
      <c r="AB64" s="449">
        <f>0.223/1000</f>
        <v>2.23E-4</v>
      </c>
      <c r="AC64" s="610">
        <f>'Données de consommation'!K65*'Emissions 2010_2014_2017'!AB64</f>
        <v>7.6408274000000009</v>
      </c>
      <c r="AD64" s="611"/>
      <c r="AE64" s="611"/>
      <c r="AF64" s="611"/>
      <c r="AG64" s="612"/>
      <c r="AH64" s="280">
        <f t="shared" si="15"/>
        <v>7.6408274000000009</v>
      </c>
      <c r="AI64" s="613">
        <v>0.5</v>
      </c>
      <c r="AJ64" s="636">
        <f>'Emissions 2010_2014_2017'!$AH64*'Emissions 2010_2014_2017'!$AI64</f>
        <v>3.8204137000000005</v>
      </c>
      <c r="AK64" s="679"/>
      <c r="AL64" s="841"/>
      <c r="AM64" s="19"/>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6"/>
      <c r="CW64" s="16"/>
      <c r="CX64" s="16"/>
      <c r="CY64" s="16"/>
      <c r="CZ64" s="16"/>
      <c r="DA64" s="16"/>
      <c r="DB64" s="16"/>
      <c r="DC64" s="16"/>
      <c r="DD64" s="16"/>
      <c r="DE64" s="16"/>
      <c r="DF64" s="16"/>
      <c r="DG64" s="16"/>
      <c r="DH64" s="16"/>
      <c r="DI64" s="16"/>
      <c r="DJ64" s="16"/>
      <c r="DK64" s="16"/>
      <c r="DL64" s="16"/>
      <c r="DM64" s="16"/>
      <c r="DN64" s="16"/>
      <c r="DO64" s="16"/>
      <c r="DP64" s="16"/>
      <c r="DQ64" s="16"/>
      <c r="DR64" s="16"/>
      <c r="DS64" s="16"/>
      <c r="DT64" s="16"/>
      <c r="DU64" s="16"/>
      <c r="DV64" s="16"/>
      <c r="DW64" s="16"/>
      <c r="DX64" s="16"/>
      <c r="DY64" s="16"/>
    </row>
    <row r="65" spans="1:129" s="8" customFormat="1" ht="38.25" x14ac:dyDescent="0.2">
      <c r="A65" s="19"/>
      <c r="B65" s="725"/>
      <c r="C65" s="1032"/>
      <c r="D65" s="18" t="s">
        <v>156</v>
      </c>
      <c r="E65" s="496"/>
      <c r="F65" s="449">
        <f>0.209/1000</f>
        <v>2.0899999999999998E-4</v>
      </c>
      <c r="G65" s="497"/>
      <c r="H65" s="498"/>
      <c r="I65" s="498"/>
      <c r="J65" s="498"/>
      <c r="K65" s="499"/>
      <c r="L65" s="500"/>
      <c r="M65" s="501"/>
      <c r="N65" s="212"/>
      <c r="O65"/>
      <c r="P65" s="502"/>
      <c r="Q65" s="449">
        <f>0.209/1000</f>
        <v>2.0899999999999998E-4</v>
      </c>
      <c r="R65" s="503"/>
      <c r="S65" s="504"/>
      <c r="T65" s="504"/>
      <c r="U65" s="504"/>
      <c r="V65" s="505"/>
      <c r="W65" s="506"/>
      <c r="X65" s="507"/>
      <c r="Y65" s="713"/>
      <c r="Z65" s="19"/>
      <c r="AA65" s="19"/>
      <c r="AB65" s="449">
        <f>0.209/1000</f>
        <v>2.0899999999999998E-4</v>
      </c>
      <c r="AC65" s="610">
        <f>'Données de consommation'!K66*'Emissions 2010_2014_2017'!AB65</f>
        <v>0</v>
      </c>
      <c r="AD65" s="611"/>
      <c r="AE65" s="611"/>
      <c r="AF65" s="611"/>
      <c r="AG65" s="612"/>
      <c r="AH65" s="280">
        <f t="shared" si="15"/>
        <v>0</v>
      </c>
      <c r="AI65" s="613">
        <v>0.5</v>
      </c>
      <c r="AJ65" s="636">
        <f>'Emissions 2010_2014_2017'!$AH65*'Emissions 2010_2014_2017'!$AI65</f>
        <v>0</v>
      </c>
      <c r="AK65" s="679"/>
      <c r="AL65" s="841"/>
      <c r="AM65" s="19"/>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c r="CN65" s="16"/>
      <c r="CO65" s="16"/>
      <c r="CP65" s="16"/>
      <c r="CQ65" s="16"/>
      <c r="CR65" s="16"/>
      <c r="CS65" s="16"/>
      <c r="CT65" s="16"/>
      <c r="CU65" s="16"/>
      <c r="CV65" s="16"/>
      <c r="CW65" s="16"/>
      <c r="CX65" s="16"/>
      <c r="CY65" s="16"/>
      <c r="CZ65" s="16"/>
      <c r="DA65" s="16"/>
      <c r="DB65" s="16"/>
      <c r="DC65" s="16"/>
      <c r="DD65" s="16"/>
      <c r="DE65" s="16"/>
      <c r="DF65" s="16"/>
      <c r="DG65" s="16"/>
      <c r="DH65" s="16"/>
      <c r="DI65" s="16"/>
      <c r="DJ65" s="16"/>
      <c r="DK65" s="16"/>
      <c r="DL65" s="16"/>
      <c r="DM65" s="16"/>
      <c r="DN65" s="16"/>
      <c r="DO65" s="16"/>
      <c r="DP65" s="16"/>
      <c r="DQ65" s="16"/>
      <c r="DR65" s="16"/>
      <c r="DS65" s="16"/>
      <c r="DT65" s="16"/>
      <c r="DU65" s="16"/>
      <c r="DV65" s="16"/>
      <c r="DW65" s="16"/>
      <c r="DX65" s="16"/>
      <c r="DY65" s="16"/>
    </row>
    <row r="66" spans="1:129" s="8" customFormat="1" ht="38.25" x14ac:dyDescent="0.2">
      <c r="A66" s="19"/>
      <c r="B66" s="725"/>
      <c r="C66" s="1032"/>
      <c r="D66" s="18" t="s">
        <v>161</v>
      </c>
      <c r="E66" s="496"/>
      <c r="F66" s="449">
        <f>0.209/1000</f>
        <v>2.0899999999999998E-4</v>
      </c>
      <c r="G66" s="497"/>
      <c r="H66" s="498"/>
      <c r="I66" s="498"/>
      <c r="J66" s="498"/>
      <c r="K66" s="499"/>
      <c r="L66" s="500"/>
      <c r="M66" s="501"/>
      <c r="N66" s="212"/>
      <c r="O66"/>
      <c r="P66" s="502"/>
      <c r="Q66" s="449">
        <f>0.209/1000</f>
        <v>2.0899999999999998E-4</v>
      </c>
      <c r="R66" s="503"/>
      <c r="S66" s="504"/>
      <c r="T66" s="504"/>
      <c r="U66" s="504"/>
      <c r="V66" s="505"/>
      <c r="W66" s="506"/>
      <c r="X66" s="507"/>
      <c r="Y66" s="713"/>
      <c r="Z66" s="19"/>
      <c r="AA66" s="19"/>
      <c r="AB66" s="449">
        <f>0.209/1000</f>
        <v>2.0899999999999998E-4</v>
      </c>
      <c r="AC66" s="610">
        <f>'Données de consommation'!K67*'Emissions 2010_2014_2017'!AB66</f>
        <v>5.8615638399999996</v>
      </c>
      <c r="AD66" s="611"/>
      <c r="AE66" s="611"/>
      <c r="AF66" s="611"/>
      <c r="AG66" s="612"/>
      <c r="AH66" s="280">
        <f t="shared" si="15"/>
        <v>5.8615638399999996</v>
      </c>
      <c r="AI66" s="613">
        <v>0.5</v>
      </c>
      <c r="AJ66" s="636">
        <f>'Emissions 2010_2014_2017'!$AH66*'Emissions 2010_2014_2017'!$AI66</f>
        <v>2.9307819199999998</v>
      </c>
      <c r="AK66" s="679"/>
      <c r="AL66" s="841"/>
      <c r="AM66" s="19"/>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c r="CN66" s="16"/>
      <c r="CO66" s="16"/>
      <c r="CP66" s="16"/>
      <c r="CQ66" s="16"/>
      <c r="CR66" s="16"/>
      <c r="CS66" s="16"/>
      <c r="CT66" s="16"/>
      <c r="CU66" s="16"/>
      <c r="CV66" s="16"/>
      <c r="CW66" s="16"/>
      <c r="CX66" s="16"/>
      <c r="CY66" s="16"/>
      <c r="CZ66" s="16"/>
      <c r="DA66" s="16"/>
      <c r="DB66" s="16"/>
      <c r="DC66" s="16"/>
      <c r="DD66" s="16"/>
      <c r="DE66" s="16"/>
      <c r="DF66" s="16"/>
      <c r="DG66" s="16"/>
      <c r="DH66" s="16"/>
      <c r="DI66" s="16"/>
      <c r="DJ66" s="16"/>
      <c r="DK66" s="16"/>
      <c r="DL66" s="16"/>
      <c r="DM66" s="16"/>
      <c r="DN66" s="16"/>
      <c r="DO66" s="16"/>
      <c r="DP66" s="16"/>
      <c r="DQ66" s="16"/>
      <c r="DR66" s="16"/>
      <c r="DS66" s="16"/>
      <c r="DT66" s="16"/>
      <c r="DU66" s="16"/>
      <c r="DV66" s="16"/>
      <c r="DW66" s="16"/>
      <c r="DX66" s="16"/>
      <c r="DY66" s="16"/>
    </row>
    <row r="67" spans="1:129" s="8" customFormat="1" ht="38.25" x14ac:dyDescent="0.2">
      <c r="A67" s="19"/>
      <c r="B67" s="725"/>
      <c r="C67" s="1032"/>
      <c r="D67" s="18" t="s">
        <v>157</v>
      </c>
      <c r="E67" s="496"/>
      <c r="F67" s="449">
        <f>0.23/1000</f>
        <v>2.3000000000000001E-4</v>
      </c>
      <c r="G67" s="497"/>
      <c r="H67" s="498"/>
      <c r="I67" s="498"/>
      <c r="J67" s="498"/>
      <c r="K67" s="499"/>
      <c r="L67" s="500"/>
      <c r="M67" s="501"/>
      <c r="N67" s="212"/>
      <c r="O67"/>
      <c r="P67" s="502"/>
      <c r="Q67" s="449">
        <f>0.23/1000</f>
        <v>2.3000000000000001E-4</v>
      </c>
      <c r="R67" s="503"/>
      <c r="S67" s="504"/>
      <c r="T67" s="504"/>
      <c r="U67" s="504"/>
      <c r="V67" s="505"/>
      <c r="W67" s="506"/>
      <c r="X67" s="507"/>
      <c r="Y67" s="713"/>
      <c r="Z67" s="19"/>
      <c r="AA67" s="19"/>
      <c r="AB67" s="449">
        <f>0.23/1000</f>
        <v>2.3000000000000001E-4</v>
      </c>
      <c r="AC67" s="610">
        <f>'Données de consommation'!K68*'Emissions 2010_2014_2017'!AB67</f>
        <v>27.622379000000002</v>
      </c>
      <c r="AD67" s="611"/>
      <c r="AE67" s="611"/>
      <c r="AF67" s="611"/>
      <c r="AG67" s="612"/>
      <c r="AH67" s="280">
        <f t="shared" si="15"/>
        <v>27.622379000000002</v>
      </c>
      <c r="AI67" s="613">
        <v>0.5</v>
      </c>
      <c r="AJ67" s="636">
        <f>'Emissions 2010_2014_2017'!$AH67*'Emissions 2010_2014_2017'!$AI67</f>
        <v>13.811189500000001</v>
      </c>
      <c r="AK67" s="679"/>
      <c r="AL67" s="841"/>
      <c r="AM67" s="19"/>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c r="CL67" s="16"/>
      <c r="CM67" s="16"/>
      <c r="CN67" s="16"/>
      <c r="CO67" s="16"/>
      <c r="CP67" s="16"/>
      <c r="CQ67" s="16"/>
      <c r="CR67" s="16"/>
      <c r="CS67" s="16"/>
      <c r="CT67" s="16"/>
      <c r="CU67" s="16"/>
      <c r="CV67" s="16"/>
      <c r="CW67" s="16"/>
      <c r="CX67" s="16"/>
      <c r="CY67" s="16"/>
      <c r="CZ67" s="16"/>
      <c r="DA67" s="16"/>
      <c r="DB67" s="16"/>
      <c r="DC67" s="16"/>
      <c r="DD67" s="16"/>
      <c r="DE67" s="16"/>
      <c r="DF67" s="16"/>
      <c r="DG67" s="16"/>
      <c r="DH67" s="16"/>
      <c r="DI67" s="16"/>
      <c r="DJ67" s="16"/>
      <c r="DK67" s="16"/>
      <c r="DL67" s="16"/>
      <c r="DM67" s="16"/>
      <c r="DN67" s="16"/>
      <c r="DO67" s="16"/>
      <c r="DP67" s="16"/>
      <c r="DQ67" s="16"/>
      <c r="DR67" s="16"/>
      <c r="DS67" s="16"/>
      <c r="DT67" s="16"/>
      <c r="DU67" s="16"/>
      <c r="DV67" s="16"/>
      <c r="DW67" s="16"/>
      <c r="DX67" s="16"/>
      <c r="DY67" s="16"/>
    </row>
    <row r="68" spans="1:129" s="8" customFormat="1" ht="38.25" x14ac:dyDescent="0.2">
      <c r="A68" s="19"/>
      <c r="B68" s="725"/>
      <c r="C68" s="1032"/>
      <c r="D68" s="18" t="s">
        <v>158</v>
      </c>
      <c r="E68" s="496"/>
      <c r="F68" s="449">
        <f>0.223/1000</f>
        <v>2.23E-4</v>
      </c>
      <c r="G68" s="497"/>
      <c r="H68" s="498"/>
      <c r="I68" s="498"/>
      <c r="J68" s="498"/>
      <c r="K68" s="499"/>
      <c r="L68" s="500"/>
      <c r="M68" s="501"/>
      <c r="N68" s="212"/>
      <c r="O68"/>
      <c r="P68" s="502"/>
      <c r="Q68" s="449">
        <f>0.223/1000</f>
        <v>2.23E-4</v>
      </c>
      <c r="R68" s="503"/>
      <c r="S68" s="504"/>
      <c r="T68" s="504"/>
      <c r="U68" s="504"/>
      <c r="V68" s="505"/>
      <c r="W68" s="506"/>
      <c r="X68" s="507"/>
      <c r="Y68" s="713"/>
      <c r="Z68" s="19"/>
      <c r="AA68" s="19"/>
      <c r="AB68" s="449">
        <f>0.223/1000</f>
        <v>2.23E-4</v>
      </c>
      <c r="AC68" s="610">
        <f>'Données de consommation'!K69*'Emissions 2010_2014_2017'!AB68</f>
        <v>116.29704665999999</v>
      </c>
      <c r="AD68" s="611"/>
      <c r="AE68" s="611"/>
      <c r="AF68" s="611"/>
      <c r="AG68" s="612"/>
      <c r="AH68" s="280">
        <f t="shared" si="15"/>
        <v>116.29704665999999</v>
      </c>
      <c r="AI68" s="613">
        <v>0.5</v>
      </c>
      <c r="AJ68" s="636">
        <f>'Emissions 2010_2014_2017'!$AH68*'Emissions 2010_2014_2017'!$AI68</f>
        <v>58.148523329999996</v>
      </c>
      <c r="AK68" s="679"/>
      <c r="AL68" s="841"/>
      <c r="AM68" s="19"/>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16"/>
      <c r="CH68" s="16"/>
      <c r="CI68" s="16"/>
      <c r="CJ68" s="16"/>
      <c r="CK68" s="16"/>
      <c r="CL68" s="16"/>
      <c r="CM68" s="16"/>
      <c r="CN68" s="16"/>
      <c r="CO68" s="16"/>
      <c r="CP68" s="16"/>
      <c r="CQ68" s="16"/>
      <c r="CR68" s="16"/>
      <c r="CS68" s="16"/>
      <c r="CT68" s="16"/>
      <c r="CU68" s="16"/>
      <c r="CV68" s="16"/>
      <c r="CW68" s="16"/>
      <c r="CX68" s="16"/>
      <c r="CY68" s="16"/>
      <c r="CZ68" s="16"/>
      <c r="DA68" s="16"/>
      <c r="DB68" s="16"/>
      <c r="DC68" s="16"/>
      <c r="DD68" s="16"/>
      <c r="DE68" s="16"/>
      <c r="DF68" s="16"/>
      <c r="DG68" s="16"/>
      <c r="DH68" s="16"/>
      <c r="DI68" s="16"/>
      <c r="DJ68" s="16"/>
      <c r="DK68" s="16"/>
      <c r="DL68" s="16"/>
      <c r="DM68" s="16"/>
      <c r="DN68" s="16"/>
      <c r="DO68" s="16"/>
      <c r="DP68" s="16"/>
      <c r="DQ68" s="16"/>
      <c r="DR68" s="16"/>
      <c r="DS68" s="16"/>
      <c r="DT68" s="16"/>
      <c r="DU68" s="16"/>
      <c r="DV68" s="16"/>
      <c r="DW68" s="16"/>
      <c r="DX68" s="16"/>
      <c r="DY68" s="16"/>
    </row>
    <row r="69" spans="1:129" s="8" customFormat="1" ht="38.25" x14ac:dyDescent="0.2">
      <c r="A69" s="19"/>
      <c r="B69" s="725"/>
      <c r="C69" s="1032"/>
      <c r="D69" s="18" t="s">
        <v>162</v>
      </c>
      <c r="E69" s="496"/>
      <c r="F69" s="449">
        <f>0.216/1000</f>
        <v>2.1599999999999999E-4</v>
      </c>
      <c r="G69" s="497"/>
      <c r="H69" s="498"/>
      <c r="I69" s="498"/>
      <c r="J69" s="498"/>
      <c r="K69" s="499"/>
      <c r="L69" s="500"/>
      <c r="M69" s="501"/>
      <c r="N69" s="212"/>
      <c r="O69"/>
      <c r="P69" s="502"/>
      <c r="Q69" s="449">
        <f>0.216/1000</f>
        <v>2.1599999999999999E-4</v>
      </c>
      <c r="R69" s="503"/>
      <c r="S69" s="504"/>
      <c r="T69" s="504"/>
      <c r="U69" s="504"/>
      <c r="V69" s="505"/>
      <c r="W69" s="506"/>
      <c r="X69" s="507"/>
      <c r="Y69" s="713"/>
      <c r="Z69" s="19"/>
      <c r="AA69" s="19"/>
      <c r="AB69" s="449">
        <f>0.216/1000</f>
        <v>2.1599999999999999E-4</v>
      </c>
      <c r="AC69" s="610">
        <f>'Données de consommation'!K70*'Emissions 2010_2014_2017'!AB69</f>
        <v>4.4563953599999993</v>
      </c>
      <c r="AD69" s="611"/>
      <c r="AE69" s="611"/>
      <c r="AF69" s="611"/>
      <c r="AG69" s="612"/>
      <c r="AH69" s="280">
        <f t="shared" si="15"/>
        <v>4.4563953599999993</v>
      </c>
      <c r="AI69" s="613">
        <v>0.5</v>
      </c>
      <c r="AJ69" s="636">
        <f>'Emissions 2010_2014_2017'!$AH69*'Emissions 2010_2014_2017'!$AI69</f>
        <v>2.2281976799999996</v>
      </c>
      <c r="AK69" s="679"/>
      <c r="AL69" s="841"/>
      <c r="AM69" s="19"/>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c r="CG69" s="16"/>
      <c r="CH69" s="16"/>
      <c r="CI69" s="16"/>
      <c r="CJ69" s="16"/>
      <c r="CK69" s="16"/>
      <c r="CL69" s="16"/>
      <c r="CM69" s="16"/>
      <c r="CN69" s="16"/>
      <c r="CO69" s="16"/>
      <c r="CP69" s="16"/>
      <c r="CQ69" s="16"/>
      <c r="CR69" s="16"/>
      <c r="CS69" s="16"/>
      <c r="CT69" s="16"/>
      <c r="CU69" s="16"/>
      <c r="CV69" s="16"/>
      <c r="CW69" s="16"/>
      <c r="CX69" s="16"/>
      <c r="CY69" s="16"/>
      <c r="CZ69" s="16"/>
      <c r="DA69" s="16"/>
      <c r="DB69" s="16"/>
      <c r="DC69" s="16"/>
      <c r="DD69" s="16"/>
      <c r="DE69" s="16"/>
      <c r="DF69" s="16"/>
      <c r="DG69" s="16"/>
      <c r="DH69" s="16"/>
      <c r="DI69" s="16"/>
      <c r="DJ69" s="16"/>
      <c r="DK69" s="16"/>
      <c r="DL69" s="16"/>
      <c r="DM69" s="16"/>
      <c r="DN69" s="16"/>
      <c r="DO69" s="16"/>
      <c r="DP69" s="16"/>
      <c r="DQ69" s="16"/>
      <c r="DR69" s="16"/>
      <c r="DS69" s="16"/>
      <c r="DT69" s="16"/>
      <c r="DU69" s="16"/>
      <c r="DV69" s="16"/>
      <c r="DW69" s="16"/>
      <c r="DX69" s="16"/>
      <c r="DY69" s="16"/>
    </row>
    <row r="70" spans="1:129" s="8" customFormat="1" ht="26.25" thickBot="1" x14ac:dyDescent="0.25">
      <c r="A70" s="19"/>
      <c r="B70" s="725"/>
      <c r="C70" s="1038"/>
      <c r="D70" s="756" t="s">
        <v>163</v>
      </c>
      <c r="E70" s="791"/>
      <c r="F70" s="454">
        <f>0.223/1000</f>
        <v>2.23E-4</v>
      </c>
      <c r="G70" s="792"/>
      <c r="H70" s="793"/>
      <c r="I70" s="793"/>
      <c r="J70" s="793"/>
      <c r="K70" s="794"/>
      <c r="L70" s="795"/>
      <c r="M70" s="796"/>
      <c r="N70" s="212"/>
      <c r="O70"/>
      <c r="P70" s="813"/>
      <c r="Q70" s="454">
        <f>0.223/1000</f>
        <v>2.23E-4</v>
      </c>
      <c r="R70" s="814"/>
      <c r="S70" s="815"/>
      <c r="T70" s="815"/>
      <c r="U70" s="815"/>
      <c r="V70" s="816"/>
      <c r="W70" s="817"/>
      <c r="X70" s="818"/>
      <c r="Y70" s="834"/>
      <c r="Z70" s="19"/>
      <c r="AA70" s="19"/>
      <c r="AB70" s="454">
        <f>0.223/1000</f>
        <v>2.23E-4</v>
      </c>
      <c r="AC70" s="842">
        <f>'Données de consommation'!K71*'Emissions 2010_2014_2017'!AB70</f>
        <v>7.1225932400000005</v>
      </c>
      <c r="AD70" s="624"/>
      <c r="AE70" s="624"/>
      <c r="AF70" s="624"/>
      <c r="AG70" s="625"/>
      <c r="AH70" s="843">
        <f t="shared" si="15"/>
        <v>7.1225932400000005</v>
      </c>
      <c r="AI70" s="634">
        <v>0.5</v>
      </c>
      <c r="AJ70" s="844">
        <f>'Emissions 2010_2014_2017'!$AH70*'Emissions 2010_2014_2017'!$AI70</f>
        <v>3.5612966200000002</v>
      </c>
      <c r="AK70" s="845"/>
      <c r="AL70" s="846"/>
      <c r="AM70" s="19"/>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6"/>
      <c r="CE70" s="16"/>
      <c r="CF70" s="16"/>
      <c r="CG70" s="16"/>
      <c r="CH70" s="16"/>
      <c r="CI70" s="16"/>
      <c r="CJ70" s="16"/>
      <c r="CK70" s="16"/>
      <c r="CL70" s="16"/>
      <c r="CM70" s="16"/>
      <c r="CN70" s="16"/>
      <c r="CO70" s="16"/>
      <c r="CP70" s="16"/>
      <c r="CQ70" s="16"/>
      <c r="CR70" s="16"/>
      <c r="CS70" s="16"/>
      <c r="CT70" s="16"/>
      <c r="CU70" s="16"/>
      <c r="CV70" s="16"/>
      <c r="CW70" s="16"/>
      <c r="CX70" s="16"/>
      <c r="CY70" s="16"/>
      <c r="CZ70" s="16"/>
      <c r="DA70" s="16"/>
      <c r="DB70" s="16"/>
      <c r="DC70" s="16"/>
      <c r="DD70" s="16"/>
      <c r="DE70" s="16"/>
      <c r="DF70" s="16"/>
      <c r="DG70" s="16"/>
      <c r="DH70" s="16"/>
      <c r="DI70" s="16"/>
      <c r="DJ70" s="16"/>
      <c r="DK70" s="16"/>
      <c r="DL70" s="16"/>
      <c r="DM70" s="16"/>
      <c r="DN70" s="16"/>
      <c r="DO70" s="16"/>
      <c r="DP70" s="16"/>
      <c r="DQ70" s="16"/>
      <c r="DR70" s="16"/>
      <c r="DS70" s="16"/>
      <c r="DT70" s="16"/>
      <c r="DU70" s="16"/>
      <c r="DV70" s="16"/>
      <c r="DW70" s="16"/>
      <c r="DX70" s="16"/>
      <c r="DY70" s="16"/>
    </row>
    <row r="71" spans="1:129" s="8" customFormat="1" ht="30" customHeight="1" thickBot="1" x14ac:dyDescent="0.25">
      <c r="A71" s="19"/>
      <c r="B71" s="725"/>
      <c r="C71" s="1092" t="s">
        <v>199</v>
      </c>
      <c r="D71" s="1093"/>
      <c r="E71" s="468">
        <f>0.219/1000</f>
        <v>2.1900000000000001E-4</v>
      </c>
      <c r="F71" s="596">
        <f>0.259/1000</f>
        <v>2.5900000000000001E-4</v>
      </c>
      <c r="G71" s="380">
        <f>'Données de consommation'!E72*'Emissions 2010_2014_2017'!$F71</f>
        <v>40.620119490155773</v>
      </c>
      <c r="H71" s="381"/>
      <c r="I71" s="381"/>
      <c r="J71" s="381"/>
      <c r="K71" s="382"/>
      <c r="L71" s="383">
        <f>SUM(G71:K71)</f>
        <v>40.620119490155773</v>
      </c>
      <c r="M71" s="387">
        <f>0.2*L71</f>
        <v>8.1240238980311545</v>
      </c>
      <c r="N71" s="29"/>
      <c r="O71"/>
      <c r="P71" s="62">
        <f>0.259/1000</f>
        <v>2.5900000000000001E-4</v>
      </c>
      <c r="Q71" s="596">
        <f>0.259/1000</f>
        <v>2.5900000000000001E-4</v>
      </c>
      <c r="R71" s="380">
        <f>'Données de consommation'!H72*'Emissions 2010_2014_2017'!$Q71</f>
        <v>47.979491000000003</v>
      </c>
      <c r="S71" s="304"/>
      <c r="T71" s="304"/>
      <c r="U71" s="304"/>
      <c r="V71" s="142"/>
      <c r="W71" s="291">
        <f>SUM($R71:$V71)</f>
        <v>47.979491000000003</v>
      </c>
      <c r="X71" s="887">
        <v>0.2</v>
      </c>
      <c r="Y71" s="888">
        <f>W71*X71</f>
        <v>9.5958982000000006</v>
      </c>
      <c r="Z71" s="19"/>
      <c r="AA71" s="19"/>
      <c r="AB71" s="892">
        <f>0.259/1000</f>
        <v>2.5900000000000001E-4</v>
      </c>
      <c r="AC71" s="894">
        <f>'Données de consommation'!K72*'Emissions 2010_2014_2017'!$AB71</f>
        <v>0</v>
      </c>
      <c r="AD71" s="611"/>
      <c r="AE71" s="611"/>
      <c r="AF71" s="611"/>
      <c r="AG71" s="612"/>
      <c r="AH71" s="893">
        <f>SUM($AC71:$AG71)</f>
        <v>0</v>
      </c>
      <c r="AI71" s="890">
        <v>0.2</v>
      </c>
      <c r="AJ71" s="891">
        <f>AH71*AI71</f>
        <v>0</v>
      </c>
      <c r="AK71" s="605">
        <f>$AH71-$L71</f>
        <v>-40.620119490155773</v>
      </c>
      <c r="AL71" s="605">
        <f>$AH71-$W71</f>
        <v>-47.979491000000003</v>
      </c>
      <c r="AM71" s="19"/>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c r="CA71" s="16"/>
      <c r="CB71" s="16"/>
      <c r="CC71" s="16"/>
      <c r="CD71" s="16"/>
      <c r="CE71" s="16"/>
      <c r="CF71" s="16"/>
      <c r="CG71" s="16"/>
      <c r="CH71" s="16"/>
      <c r="CI71" s="16"/>
      <c r="CJ71" s="16"/>
      <c r="CK71" s="16"/>
      <c r="CL71" s="16"/>
      <c r="CM71" s="16"/>
      <c r="CN71" s="16"/>
      <c r="CO71" s="16"/>
      <c r="CP71" s="16"/>
      <c r="CQ71" s="16"/>
      <c r="CR71" s="16"/>
      <c r="CS71" s="16"/>
      <c r="CT71" s="16"/>
      <c r="CU71" s="16"/>
      <c r="CV71" s="16"/>
      <c r="CW71" s="16"/>
      <c r="CX71" s="16"/>
      <c r="CY71" s="16"/>
      <c r="CZ71" s="16"/>
      <c r="DA71" s="16"/>
      <c r="DB71" s="16"/>
      <c r="DC71" s="16"/>
      <c r="DD71" s="16"/>
      <c r="DE71" s="16"/>
      <c r="DF71" s="16"/>
      <c r="DG71" s="16"/>
      <c r="DH71" s="16"/>
      <c r="DI71" s="16"/>
      <c r="DJ71" s="16"/>
      <c r="DK71" s="16"/>
      <c r="DL71" s="16"/>
      <c r="DM71" s="16"/>
      <c r="DN71" s="16"/>
      <c r="DO71" s="16"/>
      <c r="DP71" s="16"/>
      <c r="DQ71" s="16"/>
      <c r="DR71" s="16"/>
      <c r="DS71" s="16"/>
      <c r="DT71" s="16"/>
      <c r="DU71" s="16"/>
      <c r="DV71" s="16"/>
      <c r="DW71" s="16"/>
      <c r="DX71" s="16"/>
      <c r="DY71" s="16"/>
    </row>
    <row r="72" spans="1:129" s="8" customFormat="1" ht="24.75" customHeight="1" x14ac:dyDescent="0.2">
      <c r="A72" s="19"/>
      <c r="B72" s="724"/>
      <c r="C72" s="1029" t="s">
        <v>173</v>
      </c>
      <c r="D72" s="755" t="s">
        <v>150</v>
      </c>
      <c r="E72" s="784"/>
      <c r="F72" s="785">
        <f>0.293/1000</f>
        <v>2.9299999999999997E-4</v>
      </c>
      <c r="G72" s="786"/>
      <c r="H72" s="787"/>
      <c r="I72" s="787"/>
      <c r="J72" s="787"/>
      <c r="K72" s="788"/>
      <c r="L72" s="789"/>
      <c r="M72" s="790"/>
      <c r="N72" s="212"/>
      <c r="O72"/>
      <c r="P72" s="822"/>
      <c r="Q72" s="785">
        <f>0.293/1000</f>
        <v>2.9299999999999997E-4</v>
      </c>
      <c r="R72" s="823"/>
      <c r="S72" s="824"/>
      <c r="T72" s="824"/>
      <c r="U72" s="824"/>
      <c r="V72" s="825"/>
      <c r="W72" s="826"/>
      <c r="X72" s="827"/>
      <c r="Y72" s="828"/>
      <c r="Z72" s="19"/>
      <c r="AA72" s="19"/>
      <c r="AB72" s="785">
        <f>0.293/1000</f>
        <v>2.9299999999999997E-4</v>
      </c>
      <c r="AC72" s="847">
        <f>AB72*'Données de consommation'!K73</f>
        <v>4.9718232399999991</v>
      </c>
      <c r="AD72" s="627"/>
      <c r="AE72" s="627"/>
      <c r="AF72" s="627"/>
      <c r="AG72" s="628"/>
      <c r="AH72" s="848">
        <f>SUM(AC72:AG72)</f>
        <v>4.9718232399999991</v>
      </c>
      <c r="AI72" s="608">
        <v>0.5</v>
      </c>
      <c r="AJ72" s="838">
        <f>'Emissions 2010_2014_2017'!$AH72*'Emissions 2010_2014_2017'!$AI72</f>
        <v>2.4859116199999995</v>
      </c>
      <c r="AK72" s="849"/>
      <c r="AL72" s="850"/>
      <c r="AM72" s="19"/>
      <c r="AN72" s="1117" t="s">
        <v>171</v>
      </c>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c r="CA72" s="16"/>
      <c r="CB72" s="16"/>
      <c r="CC72" s="16"/>
      <c r="CD72" s="16"/>
      <c r="CE72" s="16"/>
      <c r="CF72" s="16"/>
      <c r="CG72" s="16"/>
      <c r="CH72" s="16"/>
      <c r="CI72" s="16"/>
      <c r="CJ72" s="16"/>
      <c r="CK72" s="16"/>
      <c r="CL72" s="16"/>
      <c r="CM72" s="16"/>
      <c r="CN72" s="16"/>
      <c r="CO72" s="16"/>
      <c r="CP72" s="16"/>
      <c r="CQ72" s="16"/>
      <c r="CR72" s="16"/>
      <c r="CS72" s="16"/>
      <c r="CT72" s="16"/>
      <c r="CU72" s="16"/>
      <c r="CV72" s="16"/>
      <c r="CW72" s="16"/>
      <c r="CX72" s="16"/>
      <c r="CY72" s="16"/>
      <c r="CZ72" s="16"/>
      <c r="DA72" s="16"/>
      <c r="DB72" s="16"/>
      <c r="DC72" s="16"/>
      <c r="DD72" s="16"/>
      <c r="DE72" s="16"/>
      <c r="DF72" s="16"/>
      <c r="DG72" s="16"/>
      <c r="DH72" s="16"/>
      <c r="DI72" s="16"/>
      <c r="DJ72" s="16"/>
      <c r="DK72" s="16"/>
      <c r="DL72" s="16"/>
      <c r="DM72" s="16"/>
      <c r="DN72" s="16"/>
      <c r="DO72" s="16"/>
      <c r="DP72" s="16"/>
      <c r="DQ72" s="16"/>
      <c r="DR72" s="16"/>
      <c r="DS72" s="16"/>
      <c r="DT72" s="16"/>
      <c r="DU72" s="16"/>
      <c r="DV72" s="16"/>
      <c r="DW72" s="16"/>
      <c r="DX72" s="16"/>
      <c r="DY72" s="16"/>
    </row>
    <row r="73" spans="1:129" s="8" customFormat="1" ht="42.75" customHeight="1" x14ac:dyDescent="0.2">
      <c r="A73" s="19"/>
      <c r="B73" s="724"/>
      <c r="C73" s="1030"/>
      <c r="D73" s="18" t="s">
        <v>152</v>
      </c>
      <c r="E73" s="496"/>
      <c r="F73" s="449">
        <f>0.216/1000</f>
        <v>2.1599999999999999E-4</v>
      </c>
      <c r="G73" s="497"/>
      <c r="H73" s="498"/>
      <c r="I73" s="498"/>
      <c r="J73" s="498"/>
      <c r="K73" s="499"/>
      <c r="L73" s="500"/>
      <c r="M73" s="501"/>
      <c r="N73" s="212"/>
      <c r="O73"/>
      <c r="P73" s="502"/>
      <c r="Q73" s="449">
        <f>0.216/1000</f>
        <v>2.1599999999999999E-4</v>
      </c>
      <c r="R73" s="503"/>
      <c r="S73" s="504"/>
      <c r="T73" s="504"/>
      <c r="U73" s="504"/>
      <c r="V73" s="505"/>
      <c r="W73" s="506"/>
      <c r="X73" s="507"/>
      <c r="Y73" s="508"/>
      <c r="Z73" s="19"/>
      <c r="AA73" s="19"/>
      <c r="AB73" s="449">
        <f>0.216/1000</f>
        <v>2.1599999999999999E-4</v>
      </c>
      <c r="AC73" s="604">
        <f>AB73*'Données de consommation'!K74</f>
        <v>14.884629120000001</v>
      </c>
      <c r="AD73" s="611"/>
      <c r="AE73" s="611"/>
      <c r="AF73" s="611"/>
      <c r="AG73" s="612"/>
      <c r="AH73" s="561">
        <f t="shared" ref="AH73:AH96" si="16">SUM(AC73:AG73)</f>
        <v>14.884629120000001</v>
      </c>
      <c r="AI73" s="613">
        <v>0.5</v>
      </c>
      <c r="AJ73" s="636">
        <f>'Emissions 2010_2014_2017'!$AH73*'Emissions 2010_2014_2017'!$AI73</f>
        <v>7.4423145600000007</v>
      </c>
      <c r="AK73" s="715"/>
      <c r="AL73" s="851"/>
      <c r="AM73" s="19"/>
      <c r="AN73" s="1117"/>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c r="CA73" s="16"/>
      <c r="CB73" s="16"/>
      <c r="CC73" s="16"/>
      <c r="CD73" s="16"/>
      <c r="CE73" s="16"/>
      <c r="CF73" s="16"/>
      <c r="CG73" s="16"/>
      <c r="CH73" s="16"/>
      <c r="CI73" s="16"/>
      <c r="CJ73" s="16"/>
      <c r="CK73" s="16"/>
      <c r="CL73" s="16"/>
      <c r="CM73" s="16"/>
      <c r="CN73" s="16"/>
      <c r="CO73" s="16"/>
      <c r="CP73" s="16"/>
      <c r="CQ73" s="16"/>
      <c r="CR73" s="16"/>
      <c r="CS73" s="16"/>
      <c r="CT73" s="16"/>
      <c r="CU73" s="16"/>
      <c r="CV73" s="16"/>
      <c r="CW73" s="16"/>
      <c r="CX73" s="16"/>
      <c r="CY73" s="16"/>
      <c r="CZ73" s="16"/>
      <c r="DA73" s="16"/>
      <c r="DB73" s="16"/>
      <c r="DC73" s="16"/>
      <c r="DD73" s="16"/>
      <c r="DE73" s="16"/>
      <c r="DF73" s="16"/>
      <c r="DG73" s="16"/>
      <c r="DH73" s="16"/>
      <c r="DI73" s="16"/>
      <c r="DJ73" s="16"/>
      <c r="DK73" s="16"/>
      <c r="DL73" s="16"/>
      <c r="DM73" s="16"/>
      <c r="DN73" s="16"/>
      <c r="DO73" s="16"/>
      <c r="DP73" s="16"/>
      <c r="DQ73" s="16"/>
      <c r="DR73" s="16"/>
      <c r="DS73" s="16"/>
      <c r="DT73" s="16"/>
      <c r="DU73" s="16"/>
      <c r="DV73" s="16"/>
      <c r="DW73" s="16"/>
      <c r="DX73" s="16"/>
      <c r="DY73" s="16"/>
    </row>
    <row r="74" spans="1:129" s="8" customFormat="1" ht="39.75" customHeight="1" x14ac:dyDescent="0.2">
      <c r="A74" s="19"/>
      <c r="B74" s="724"/>
      <c r="C74" s="1030"/>
      <c r="D74" s="18" t="s">
        <v>151</v>
      </c>
      <c r="E74" s="496"/>
      <c r="F74" s="449">
        <f>0.209/1000</f>
        <v>2.0899999999999998E-4</v>
      </c>
      <c r="G74" s="497"/>
      <c r="H74" s="498"/>
      <c r="I74" s="498"/>
      <c r="J74" s="498"/>
      <c r="K74" s="499"/>
      <c r="L74" s="500"/>
      <c r="M74" s="501"/>
      <c r="N74" s="212"/>
      <c r="O74"/>
      <c r="P74" s="502"/>
      <c r="Q74" s="449">
        <f>0.209/1000</f>
        <v>2.0899999999999998E-4</v>
      </c>
      <c r="R74" s="503"/>
      <c r="S74" s="504"/>
      <c r="T74" s="504"/>
      <c r="U74" s="504"/>
      <c r="V74" s="505"/>
      <c r="W74" s="506"/>
      <c r="X74" s="507"/>
      <c r="Y74" s="508"/>
      <c r="Z74" s="19"/>
      <c r="AA74" s="19"/>
      <c r="AB74" s="449">
        <f>0.209/1000</f>
        <v>2.0899999999999998E-4</v>
      </c>
      <c r="AC74" s="604">
        <f>AB74*'Données de consommation'!K75</f>
        <v>9.3588653399999995</v>
      </c>
      <c r="AD74" s="611"/>
      <c r="AE74" s="611"/>
      <c r="AF74" s="611"/>
      <c r="AG74" s="612"/>
      <c r="AH74" s="281">
        <f t="shared" si="16"/>
        <v>9.3588653399999995</v>
      </c>
      <c r="AI74" s="613">
        <v>0.5</v>
      </c>
      <c r="AJ74" s="636">
        <f>'Emissions 2010_2014_2017'!$AH74*'Emissions 2010_2014_2017'!$AI74</f>
        <v>4.6794326699999997</v>
      </c>
      <c r="AK74" s="703"/>
      <c r="AL74" s="852"/>
      <c r="AM74" s="19"/>
      <c r="AN74" s="1117"/>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c r="CA74" s="16"/>
      <c r="CB74" s="16"/>
      <c r="CC74" s="16"/>
      <c r="CD74" s="16"/>
      <c r="CE74" s="16"/>
      <c r="CF74" s="16"/>
      <c r="CG74" s="16"/>
      <c r="CH74" s="16"/>
      <c r="CI74" s="16"/>
      <c r="CJ74" s="16"/>
      <c r="CK74" s="16"/>
      <c r="CL74" s="16"/>
      <c r="CM74" s="16"/>
      <c r="CN74" s="16"/>
      <c r="CO74" s="16"/>
      <c r="CP74" s="16"/>
      <c r="CQ74" s="16"/>
      <c r="CR74" s="16"/>
      <c r="CS74" s="16"/>
      <c r="CT74" s="16"/>
      <c r="CU74" s="16"/>
      <c r="CV74" s="16"/>
      <c r="CW74" s="16"/>
      <c r="CX74" s="16"/>
      <c r="CY74" s="16"/>
      <c r="CZ74" s="16"/>
      <c r="DA74" s="16"/>
      <c r="DB74" s="16"/>
      <c r="DC74" s="16"/>
      <c r="DD74" s="16"/>
      <c r="DE74" s="16"/>
      <c r="DF74" s="16"/>
      <c r="DG74" s="16"/>
      <c r="DH74" s="16"/>
      <c r="DI74" s="16"/>
      <c r="DJ74" s="16"/>
      <c r="DK74" s="16"/>
      <c r="DL74" s="16"/>
      <c r="DM74" s="16"/>
      <c r="DN74" s="16"/>
      <c r="DO74" s="16"/>
      <c r="DP74" s="16"/>
      <c r="DQ74" s="16"/>
      <c r="DR74" s="16"/>
      <c r="DS74" s="16"/>
      <c r="DT74" s="16"/>
      <c r="DU74" s="16"/>
      <c r="DV74" s="16"/>
      <c r="DW74" s="16"/>
      <c r="DX74" s="16"/>
      <c r="DY74" s="16"/>
    </row>
    <row r="75" spans="1:129" s="8" customFormat="1" ht="42" customHeight="1" x14ac:dyDescent="0.2">
      <c r="A75" s="19"/>
      <c r="B75" s="724"/>
      <c r="C75" s="1030"/>
      <c r="D75" s="18" t="s">
        <v>153</v>
      </c>
      <c r="E75" s="496"/>
      <c r="F75" s="449">
        <f>0.251/1000</f>
        <v>2.5099999999999998E-4</v>
      </c>
      <c r="G75" s="497"/>
      <c r="H75" s="498"/>
      <c r="I75" s="498"/>
      <c r="J75" s="498"/>
      <c r="K75" s="499"/>
      <c r="L75" s="500"/>
      <c r="M75" s="501"/>
      <c r="N75" s="212"/>
      <c r="O75"/>
      <c r="P75" s="502"/>
      <c r="Q75" s="449">
        <f>0.251/1000</f>
        <v>2.5099999999999998E-4</v>
      </c>
      <c r="R75" s="503"/>
      <c r="S75" s="504"/>
      <c r="T75" s="504"/>
      <c r="U75" s="504"/>
      <c r="V75" s="505"/>
      <c r="W75" s="506"/>
      <c r="X75" s="507"/>
      <c r="Y75" s="508"/>
      <c r="Z75" s="19"/>
      <c r="AA75" s="19"/>
      <c r="AB75" s="449">
        <f>0.251/1000</f>
        <v>2.5099999999999998E-4</v>
      </c>
      <c r="AC75" s="604">
        <f>AB75*'Données de consommation'!K76</f>
        <v>0</v>
      </c>
      <c r="AD75" s="611"/>
      <c r="AE75" s="611"/>
      <c r="AF75" s="611"/>
      <c r="AG75" s="612"/>
      <c r="AH75" s="281">
        <f t="shared" si="16"/>
        <v>0</v>
      </c>
      <c r="AI75" s="613">
        <v>0.5</v>
      </c>
      <c r="AJ75" s="636">
        <f>'Emissions 2010_2014_2017'!$AH75*'Emissions 2010_2014_2017'!$AI75</f>
        <v>0</v>
      </c>
      <c r="AK75" s="703"/>
      <c r="AL75" s="852"/>
      <c r="AM75" s="19"/>
      <c r="AN75" s="2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c r="CA75" s="16"/>
      <c r="CB75" s="16"/>
      <c r="CC75" s="16"/>
      <c r="CD75" s="16"/>
      <c r="CE75" s="16"/>
      <c r="CF75" s="16"/>
      <c r="CG75" s="16"/>
      <c r="CH75" s="16"/>
      <c r="CI75" s="16"/>
      <c r="CJ75" s="16"/>
      <c r="CK75" s="16"/>
      <c r="CL75" s="16"/>
      <c r="CM75" s="16"/>
      <c r="CN75" s="16"/>
      <c r="CO75" s="16"/>
      <c r="CP75" s="16"/>
      <c r="CQ75" s="16"/>
      <c r="CR75" s="16"/>
      <c r="CS75" s="16"/>
      <c r="CT75" s="16"/>
      <c r="CU75" s="16"/>
      <c r="CV75" s="16"/>
      <c r="CW75" s="16"/>
      <c r="CX75" s="16"/>
      <c r="CY75" s="16"/>
      <c r="CZ75" s="16"/>
      <c r="DA75" s="16"/>
      <c r="DB75" s="16"/>
      <c r="DC75" s="16"/>
      <c r="DD75" s="16"/>
      <c r="DE75" s="16"/>
      <c r="DF75" s="16"/>
      <c r="DG75" s="16"/>
      <c r="DH75" s="16"/>
      <c r="DI75" s="16"/>
      <c r="DJ75" s="16"/>
      <c r="DK75" s="16"/>
      <c r="DL75" s="16"/>
      <c r="DM75" s="16"/>
      <c r="DN75" s="16"/>
      <c r="DO75" s="16"/>
      <c r="DP75" s="16"/>
      <c r="DQ75" s="16"/>
      <c r="DR75" s="16"/>
      <c r="DS75" s="16"/>
      <c r="DT75" s="16"/>
      <c r="DU75" s="16"/>
      <c r="DV75" s="16"/>
      <c r="DW75" s="16"/>
      <c r="DX75" s="16"/>
      <c r="DY75" s="16"/>
    </row>
    <row r="76" spans="1:129" s="8" customFormat="1" ht="38.25" customHeight="1" x14ac:dyDescent="0.2">
      <c r="A76" s="19"/>
      <c r="B76" s="724"/>
      <c r="C76" s="1030"/>
      <c r="D76" s="18" t="s">
        <v>154</v>
      </c>
      <c r="E76" s="496"/>
      <c r="F76" s="449">
        <f>0.258/1000</f>
        <v>2.5799999999999998E-4</v>
      </c>
      <c r="G76" s="497"/>
      <c r="H76" s="498"/>
      <c r="I76" s="498"/>
      <c r="J76" s="498"/>
      <c r="K76" s="499"/>
      <c r="L76" s="500"/>
      <c r="M76" s="501"/>
      <c r="N76" s="212"/>
      <c r="O76"/>
      <c r="P76" s="502"/>
      <c r="Q76" s="449">
        <f>0.258/1000</f>
        <v>2.5799999999999998E-4</v>
      </c>
      <c r="R76" s="503"/>
      <c r="S76" s="504"/>
      <c r="T76" s="504"/>
      <c r="U76" s="504"/>
      <c r="V76" s="505"/>
      <c r="W76" s="506"/>
      <c r="X76" s="507"/>
      <c r="Y76" s="508"/>
      <c r="Z76" s="19"/>
      <c r="AA76" s="19"/>
      <c r="AB76" s="449">
        <f>0.258/1000</f>
        <v>2.5799999999999998E-4</v>
      </c>
      <c r="AC76" s="604">
        <f>AB76*'Données de consommation'!K77</f>
        <v>10.99514988</v>
      </c>
      <c r="AD76" s="611"/>
      <c r="AE76" s="611"/>
      <c r="AF76" s="611"/>
      <c r="AG76" s="612"/>
      <c r="AH76" s="561">
        <f t="shared" si="16"/>
        <v>10.99514988</v>
      </c>
      <c r="AI76" s="613">
        <v>0.5</v>
      </c>
      <c r="AJ76" s="636">
        <f>'Emissions 2010_2014_2017'!$AH76*'Emissions 2010_2014_2017'!$AI76</f>
        <v>5.4975749399999998</v>
      </c>
      <c r="AK76" s="715"/>
      <c r="AL76" s="851"/>
      <c r="AM76" s="19"/>
      <c r="AN76" s="2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c r="CA76" s="16"/>
      <c r="CB76" s="16"/>
      <c r="CC76" s="16"/>
      <c r="CD76" s="16"/>
      <c r="CE76" s="16"/>
      <c r="CF76" s="16"/>
      <c r="CG76" s="16"/>
      <c r="CH76" s="16"/>
      <c r="CI76" s="16"/>
      <c r="CJ76" s="16"/>
      <c r="CK76" s="16"/>
      <c r="CL76" s="16"/>
      <c r="CM76" s="16"/>
      <c r="CN76" s="16"/>
      <c r="CO76" s="16"/>
      <c r="CP76" s="16"/>
      <c r="CQ76" s="16"/>
      <c r="CR76" s="16"/>
      <c r="CS76" s="16"/>
      <c r="CT76" s="16"/>
      <c r="CU76" s="16"/>
      <c r="CV76" s="16"/>
      <c r="CW76" s="16"/>
      <c r="CX76" s="16"/>
      <c r="CY76" s="16"/>
      <c r="CZ76" s="16"/>
      <c r="DA76" s="16"/>
      <c r="DB76" s="16"/>
      <c r="DC76" s="16"/>
      <c r="DD76" s="16"/>
      <c r="DE76" s="16"/>
      <c r="DF76" s="16"/>
      <c r="DG76" s="16"/>
      <c r="DH76" s="16"/>
      <c r="DI76" s="16"/>
      <c r="DJ76" s="16"/>
      <c r="DK76" s="16"/>
      <c r="DL76" s="16"/>
      <c r="DM76" s="16"/>
      <c r="DN76" s="16"/>
      <c r="DO76" s="16"/>
      <c r="DP76" s="16"/>
      <c r="DQ76" s="16"/>
      <c r="DR76" s="16"/>
      <c r="DS76" s="16"/>
      <c r="DT76" s="16"/>
      <c r="DU76" s="16"/>
      <c r="DV76" s="16"/>
      <c r="DW76" s="16"/>
      <c r="DX76" s="16"/>
      <c r="DY76" s="16"/>
    </row>
    <row r="77" spans="1:129" s="8" customFormat="1" ht="40.5" customHeight="1" x14ac:dyDescent="0.2">
      <c r="A77" s="19"/>
      <c r="B77" s="724"/>
      <c r="C77" s="1030"/>
      <c r="D77" s="18" t="s">
        <v>155</v>
      </c>
      <c r="E77" s="496"/>
      <c r="F77" s="449">
        <f>0.223/1000</f>
        <v>2.23E-4</v>
      </c>
      <c r="G77" s="497"/>
      <c r="H77" s="498"/>
      <c r="I77" s="498"/>
      <c r="J77" s="498"/>
      <c r="K77" s="499"/>
      <c r="L77" s="500"/>
      <c r="M77" s="501"/>
      <c r="N77" s="212"/>
      <c r="O77"/>
      <c r="P77" s="502"/>
      <c r="Q77" s="449">
        <f>0.223/1000</f>
        <v>2.23E-4</v>
      </c>
      <c r="R77" s="503"/>
      <c r="S77" s="504"/>
      <c r="T77" s="504"/>
      <c r="U77" s="504"/>
      <c r="V77" s="505"/>
      <c r="W77" s="506"/>
      <c r="X77" s="507"/>
      <c r="Y77" s="508"/>
      <c r="Z77" s="19"/>
      <c r="AA77" s="19"/>
      <c r="AB77" s="449">
        <f>0.223/1000</f>
        <v>2.23E-4</v>
      </c>
      <c r="AC77" s="604">
        <f>AB77*'Données de consommation'!K78</f>
        <v>0</v>
      </c>
      <c r="AD77" s="611"/>
      <c r="AE77" s="611"/>
      <c r="AF77" s="611"/>
      <c r="AG77" s="612"/>
      <c r="AH77" s="281">
        <f t="shared" si="16"/>
        <v>0</v>
      </c>
      <c r="AI77" s="613">
        <v>0.5</v>
      </c>
      <c r="AJ77" s="636">
        <f>'Emissions 2010_2014_2017'!$AH77*'Emissions 2010_2014_2017'!$AI77</f>
        <v>0</v>
      </c>
      <c r="AK77" s="703"/>
      <c r="AL77" s="852"/>
      <c r="AM77" s="19"/>
      <c r="AN77" s="2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c r="CA77" s="16"/>
      <c r="CB77" s="16"/>
      <c r="CC77" s="16"/>
      <c r="CD77" s="16"/>
      <c r="CE77" s="16"/>
      <c r="CF77" s="16"/>
      <c r="CG77" s="16"/>
      <c r="CH77" s="16"/>
      <c r="CI77" s="16"/>
      <c r="CJ77" s="16"/>
      <c r="CK77" s="16"/>
      <c r="CL77" s="16"/>
      <c r="CM77" s="16"/>
      <c r="CN77" s="16"/>
      <c r="CO77" s="16"/>
      <c r="CP77" s="16"/>
      <c r="CQ77" s="16"/>
      <c r="CR77" s="16"/>
      <c r="CS77" s="16"/>
      <c r="CT77" s="16"/>
      <c r="CU77" s="16"/>
      <c r="CV77" s="16"/>
      <c r="CW77" s="16"/>
      <c r="CX77" s="16"/>
      <c r="CY77" s="16"/>
      <c r="CZ77" s="16"/>
      <c r="DA77" s="16"/>
      <c r="DB77" s="16"/>
      <c r="DC77" s="16"/>
      <c r="DD77" s="16"/>
      <c r="DE77" s="16"/>
      <c r="DF77" s="16"/>
      <c r="DG77" s="16"/>
      <c r="DH77" s="16"/>
      <c r="DI77" s="16"/>
      <c r="DJ77" s="16"/>
      <c r="DK77" s="16"/>
      <c r="DL77" s="16"/>
      <c r="DM77" s="16"/>
      <c r="DN77" s="16"/>
      <c r="DO77" s="16"/>
      <c r="DP77" s="16"/>
      <c r="DQ77" s="16"/>
      <c r="DR77" s="16"/>
      <c r="DS77" s="16"/>
      <c r="DT77" s="16"/>
      <c r="DU77" s="16"/>
      <c r="DV77" s="16"/>
      <c r="DW77" s="16"/>
      <c r="DX77" s="16"/>
      <c r="DY77" s="16"/>
    </row>
    <row r="78" spans="1:129" s="8" customFormat="1" ht="39.75" customHeight="1" x14ac:dyDescent="0.2">
      <c r="A78" s="19"/>
      <c r="B78" s="724"/>
      <c r="C78" s="1030"/>
      <c r="D78" s="18" t="s">
        <v>156</v>
      </c>
      <c r="E78" s="496"/>
      <c r="F78" s="449">
        <f>0.209/1000</f>
        <v>2.0899999999999998E-4</v>
      </c>
      <c r="G78" s="497"/>
      <c r="H78" s="498"/>
      <c r="I78" s="498"/>
      <c r="J78" s="498"/>
      <c r="K78" s="499"/>
      <c r="L78" s="500"/>
      <c r="M78" s="501"/>
      <c r="N78" s="212"/>
      <c r="O78"/>
      <c r="P78" s="502"/>
      <c r="Q78" s="449">
        <f>0.209/1000</f>
        <v>2.0899999999999998E-4</v>
      </c>
      <c r="R78" s="503"/>
      <c r="S78" s="504"/>
      <c r="T78" s="504"/>
      <c r="U78" s="504"/>
      <c r="V78" s="505"/>
      <c r="W78" s="506"/>
      <c r="X78" s="507"/>
      <c r="Y78" s="508"/>
      <c r="Z78" s="19"/>
      <c r="AA78" s="19"/>
      <c r="AB78" s="449">
        <f>0.209/1000</f>
        <v>2.0899999999999998E-4</v>
      </c>
      <c r="AC78" s="604">
        <f>AB78*'Données de consommation'!K79</f>
        <v>2.6034795599999998</v>
      </c>
      <c r="AD78" s="611"/>
      <c r="AE78" s="611"/>
      <c r="AF78" s="611"/>
      <c r="AG78" s="612"/>
      <c r="AH78" s="281">
        <f t="shared" si="16"/>
        <v>2.6034795599999998</v>
      </c>
      <c r="AI78" s="613">
        <v>0.5</v>
      </c>
      <c r="AJ78" s="636">
        <f>'Emissions 2010_2014_2017'!$AH78*'Emissions 2010_2014_2017'!$AI78</f>
        <v>1.3017397799999999</v>
      </c>
      <c r="AK78" s="703"/>
      <c r="AL78" s="852"/>
      <c r="AM78" s="19"/>
      <c r="AN78" s="2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c r="CA78" s="16"/>
      <c r="CB78" s="16"/>
      <c r="CC78" s="16"/>
      <c r="CD78" s="16"/>
      <c r="CE78" s="16"/>
      <c r="CF78" s="16"/>
      <c r="CG78" s="16"/>
      <c r="CH78" s="16"/>
      <c r="CI78" s="16"/>
      <c r="CJ78" s="16"/>
      <c r="CK78" s="16"/>
      <c r="CL78" s="16"/>
      <c r="CM78" s="16"/>
      <c r="CN78" s="16"/>
      <c r="CO78" s="16"/>
      <c r="CP78" s="16"/>
      <c r="CQ78" s="16"/>
      <c r="CR78" s="16"/>
      <c r="CS78" s="16"/>
      <c r="CT78" s="16"/>
      <c r="CU78" s="16"/>
      <c r="CV78" s="16"/>
      <c r="CW78" s="16"/>
      <c r="CX78" s="16"/>
      <c r="CY78" s="16"/>
      <c r="CZ78" s="16"/>
      <c r="DA78" s="16"/>
      <c r="DB78" s="16"/>
      <c r="DC78" s="16"/>
      <c r="DD78" s="16"/>
      <c r="DE78" s="16"/>
      <c r="DF78" s="16"/>
      <c r="DG78" s="16"/>
      <c r="DH78" s="16"/>
      <c r="DI78" s="16"/>
      <c r="DJ78" s="16"/>
      <c r="DK78" s="16"/>
      <c r="DL78" s="16"/>
      <c r="DM78" s="16"/>
      <c r="DN78" s="16"/>
      <c r="DO78" s="16"/>
      <c r="DP78" s="16"/>
      <c r="DQ78" s="16"/>
      <c r="DR78" s="16"/>
      <c r="DS78" s="16"/>
      <c r="DT78" s="16"/>
      <c r="DU78" s="16"/>
      <c r="DV78" s="16"/>
      <c r="DW78" s="16"/>
      <c r="DX78" s="16"/>
      <c r="DY78" s="16"/>
    </row>
    <row r="79" spans="1:129" s="8" customFormat="1" ht="39.75" customHeight="1" x14ac:dyDescent="0.2">
      <c r="A79" s="19"/>
      <c r="B79" s="724"/>
      <c r="C79" s="1030"/>
      <c r="D79" s="18" t="s">
        <v>161</v>
      </c>
      <c r="E79" s="496"/>
      <c r="F79" s="449">
        <f>0.209/1000</f>
        <v>2.0899999999999998E-4</v>
      </c>
      <c r="G79" s="497"/>
      <c r="H79" s="498"/>
      <c r="I79" s="498"/>
      <c r="J79" s="498"/>
      <c r="K79" s="499"/>
      <c r="L79" s="500"/>
      <c r="M79" s="501"/>
      <c r="N79" s="212"/>
      <c r="O79"/>
      <c r="P79" s="502"/>
      <c r="Q79" s="449">
        <f>0.209/1000</f>
        <v>2.0899999999999998E-4</v>
      </c>
      <c r="R79" s="503"/>
      <c r="S79" s="504"/>
      <c r="T79" s="504"/>
      <c r="U79" s="504"/>
      <c r="V79" s="505"/>
      <c r="W79" s="506"/>
      <c r="X79" s="507"/>
      <c r="Y79" s="508"/>
      <c r="Z79" s="19"/>
      <c r="AA79" s="19"/>
      <c r="AB79" s="449">
        <f>0.209/1000</f>
        <v>2.0899999999999998E-4</v>
      </c>
      <c r="AC79" s="604">
        <f>AB79*'Données de consommation'!K80</f>
        <v>25.491190779999997</v>
      </c>
      <c r="AD79" s="611"/>
      <c r="AE79" s="611"/>
      <c r="AF79" s="611"/>
      <c r="AG79" s="612"/>
      <c r="AH79" s="561">
        <f t="shared" si="16"/>
        <v>25.491190779999997</v>
      </c>
      <c r="AI79" s="613">
        <v>0.5</v>
      </c>
      <c r="AJ79" s="636">
        <f>'Emissions 2010_2014_2017'!$AH79*'Emissions 2010_2014_2017'!$AI79</f>
        <v>12.745595389999998</v>
      </c>
      <c r="AK79" s="715"/>
      <c r="AL79" s="851"/>
      <c r="AM79" s="19"/>
      <c r="AN79" s="2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c r="CG79" s="16"/>
      <c r="CH79" s="16"/>
      <c r="CI79" s="16"/>
      <c r="CJ79" s="16"/>
      <c r="CK79" s="16"/>
      <c r="CL79" s="16"/>
      <c r="CM79" s="16"/>
      <c r="CN79" s="16"/>
      <c r="CO79" s="16"/>
      <c r="CP79" s="16"/>
      <c r="CQ79" s="16"/>
      <c r="CR79" s="16"/>
      <c r="CS79" s="16"/>
      <c r="CT79" s="16"/>
      <c r="CU79" s="16"/>
      <c r="CV79" s="16"/>
      <c r="CW79" s="16"/>
      <c r="CX79" s="16"/>
      <c r="CY79" s="16"/>
      <c r="CZ79" s="16"/>
      <c r="DA79" s="16"/>
      <c r="DB79" s="16"/>
      <c r="DC79" s="16"/>
      <c r="DD79" s="16"/>
      <c r="DE79" s="16"/>
      <c r="DF79" s="16"/>
      <c r="DG79" s="16"/>
      <c r="DH79" s="16"/>
      <c r="DI79" s="16"/>
      <c r="DJ79" s="16"/>
      <c r="DK79" s="16"/>
      <c r="DL79" s="16"/>
      <c r="DM79" s="16"/>
      <c r="DN79" s="16"/>
      <c r="DO79" s="16"/>
      <c r="DP79" s="16"/>
      <c r="DQ79" s="16"/>
      <c r="DR79" s="16"/>
      <c r="DS79" s="16"/>
      <c r="DT79" s="16"/>
      <c r="DU79" s="16"/>
      <c r="DV79" s="16"/>
      <c r="DW79" s="16"/>
      <c r="DX79" s="16"/>
      <c r="DY79" s="16"/>
    </row>
    <row r="80" spans="1:129" s="8" customFormat="1" ht="37.5" customHeight="1" x14ac:dyDescent="0.2">
      <c r="A80" s="19"/>
      <c r="B80" s="724"/>
      <c r="C80" s="1030"/>
      <c r="D80" s="18" t="s">
        <v>157</v>
      </c>
      <c r="E80" s="496"/>
      <c r="F80" s="449">
        <f>0.23/1000</f>
        <v>2.3000000000000001E-4</v>
      </c>
      <c r="G80" s="497"/>
      <c r="H80" s="498"/>
      <c r="I80" s="498"/>
      <c r="J80" s="498"/>
      <c r="K80" s="499"/>
      <c r="L80" s="500"/>
      <c r="M80" s="501"/>
      <c r="N80" s="212"/>
      <c r="O80"/>
      <c r="P80" s="502"/>
      <c r="Q80" s="449">
        <f>0.23/1000</f>
        <v>2.3000000000000001E-4</v>
      </c>
      <c r="R80" s="503"/>
      <c r="S80" s="504"/>
      <c r="T80" s="504"/>
      <c r="U80" s="504"/>
      <c r="V80" s="505"/>
      <c r="W80" s="506"/>
      <c r="X80" s="507"/>
      <c r="Y80" s="508"/>
      <c r="Z80" s="19"/>
      <c r="AA80" s="19"/>
      <c r="AB80" s="449">
        <f>0.23/1000</f>
        <v>2.3000000000000001E-4</v>
      </c>
      <c r="AC80" s="604">
        <f>AB80*'Données de consommation'!K81</f>
        <v>72.08170100000001</v>
      </c>
      <c r="AD80" s="611"/>
      <c r="AE80" s="611"/>
      <c r="AF80" s="611"/>
      <c r="AG80" s="612"/>
      <c r="AH80" s="561">
        <f t="shared" si="16"/>
        <v>72.08170100000001</v>
      </c>
      <c r="AI80" s="613">
        <v>0.5</v>
      </c>
      <c r="AJ80" s="636">
        <f>'Emissions 2010_2014_2017'!$AH80*'Emissions 2010_2014_2017'!$AI80</f>
        <v>36.040850500000005</v>
      </c>
      <c r="AK80" s="715"/>
      <c r="AL80" s="851"/>
      <c r="AM80" s="19"/>
      <c r="AN80" s="2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6"/>
      <c r="CE80" s="16"/>
      <c r="CF80" s="16"/>
      <c r="CG80" s="16"/>
      <c r="CH80" s="16"/>
      <c r="CI80" s="16"/>
      <c r="CJ80" s="16"/>
      <c r="CK80" s="16"/>
      <c r="CL80" s="16"/>
      <c r="CM80" s="16"/>
      <c r="CN80" s="16"/>
      <c r="CO80" s="16"/>
      <c r="CP80" s="16"/>
      <c r="CQ80" s="16"/>
      <c r="CR80" s="16"/>
      <c r="CS80" s="16"/>
      <c r="CT80" s="16"/>
      <c r="CU80" s="16"/>
      <c r="CV80" s="16"/>
      <c r="CW80" s="16"/>
      <c r="CX80" s="16"/>
      <c r="CY80" s="16"/>
      <c r="CZ80" s="16"/>
      <c r="DA80" s="16"/>
      <c r="DB80" s="16"/>
      <c r="DC80" s="16"/>
      <c r="DD80" s="16"/>
      <c r="DE80" s="16"/>
      <c r="DF80" s="16"/>
      <c r="DG80" s="16"/>
      <c r="DH80" s="16"/>
      <c r="DI80" s="16"/>
      <c r="DJ80" s="16"/>
      <c r="DK80" s="16"/>
      <c r="DL80" s="16"/>
      <c r="DM80" s="16"/>
      <c r="DN80" s="16"/>
      <c r="DO80" s="16"/>
      <c r="DP80" s="16"/>
      <c r="DQ80" s="16"/>
      <c r="DR80" s="16"/>
      <c r="DS80" s="16"/>
      <c r="DT80" s="16"/>
      <c r="DU80" s="16"/>
      <c r="DV80" s="16"/>
      <c r="DW80" s="16"/>
      <c r="DX80" s="16"/>
      <c r="DY80" s="16"/>
    </row>
    <row r="81" spans="1:129" s="8" customFormat="1" ht="42.75" customHeight="1" x14ac:dyDescent="0.2">
      <c r="A81" s="19"/>
      <c r="B81" s="724"/>
      <c r="C81" s="1030"/>
      <c r="D81" s="18" t="s">
        <v>158</v>
      </c>
      <c r="E81" s="496"/>
      <c r="F81" s="449">
        <f>0.223/1000</f>
        <v>2.23E-4</v>
      </c>
      <c r="G81" s="497"/>
      <c r="H81" s="498"/>
      <c r="I81" s="498"/>
      <c r="J81" s="498"/>
      <c r="K81" s="499"/>
      <c r="L81" s="500"/>
      <c r="M81" s="501"/>
      <c r="N81" s="212"/>
      <c r="O81"/>
      <c r="P81" s="502"/>
      <c r="Q81" s="449">
        <f>0.223/1000</f>
        <v>2.23E-4</v>
      </c>
      <c r="R81" s="503"/>
      <c r="S81" s="504"/>
      <c r="T81" s="504"/>
      <c r="U81" s="504"/>
      <c r="V81" s="505"/>
      <c r="W81" s="506"/>
      <c r="X81" s="507"/>
      <c r="Y81" s="508"/>
      <c r="Z81" s="19"/>
      <c r="AA81" s="19"/>
      <c r="AB81" s="449">
        <f>0.223/1000</f>
        <v>2.23E-4</v>
      </c>
      <c r="AC81" s="604">
        <f>AB81*'Données de consommation'!K82</f>
        <v>29.983670160000003</v>
      </c>
      <c r="AD81" s="611"/>
      <c r="AE81" s="611"/>
      <c r="AF81" s="611"/>
      <c r="AG81" s="612"/>
      <c r="AH81" s="561">
        <f t="shared" si="16"/>
        <v>29.983670160000003</v>
      </c>
      <c r="AI81" s="613">
        <v>0.5</v>
      </c>
      <c r="AJ81" s="636">
        <f>'Emissions 2010_2014_2017'!$AH81*'Emissions 2010_2014_2017'!$AI81</f>
        <v>14.991835080000001</v>
      </c>
      <c r="AK81" s="715"/>
      <c r="AL81" s="851"/>
      <c r="AM81" s="19"/>
      <c r="AN81" s="2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c r="CA81" s="16"/>
      <c r="CB81" s="16"/>
      <c r="CC81" s="16"/>
      <c r="CD81" s="16"/>
      <c r="CE81" s="16"/>
      <c r="CF81" s="16"/>
      <c r="CG81" s="16"/>
      <c r="CH81" s="16"/>
      <c r="CI81" s="16"/>
      <c r="CJ81" s="16"/>
      <c r="CK81" s="16"/>
      <c r="CL81" s="16"/>
      <c r="CM81" s="16"/>
      <c r="CN81" s="16"/>
      <c r="CO81" s="16"/>
      <c r="CP81" s="16"/>
      <c r="CQ81" s="16"/>
      <c r="CR81" s="16"/>
      <c r="CS81" s="16"/>
      <c r="CT81" s="16"/>
      <c r="CU81" s="16"/>
      <c r="CV81" s="16"/>
      <c r="CW81" s="16"/>
      <c r="CX81" s="16"/>
      <c r="CY81" s="16"/>
      <c r="CZ81" s="16"/>
      <c r="DA81" s="16"/>
      <c r="DB81" s="16"/>
      <c r="DC81" s="16"/>
      <c r="DD81" s="16"/>
      <c r="DE81" s="16"/>
      <c r="DF81" s="16"/>
      <c r="DG81" s="16"/>
      <c r="DH81" s="16"/>
      <c r="DI81" s="16"/>
      <c r="DJ81" s="16"/>
      <c r="DK81" s="16"/>
      <c r="DL81" s="16"/>
      <c r="DM81" s="16"/>
      <c r="DN81" s="16"/>
      <c r="DO81" s="16"/>
      <c r="DP81" s="16"/>
      <c r="DQ81" s="16"/>
      <c r="DR81" s="16"/>
      <c r="DS81" s="16"/>
      <c r="DT81" s="16"/>
      <c r="DU81" s="16"/>
      <c r="DV81" s="16"/>
      <c r="DW81" s="16"/>
      <c r="DX81" s="16"/>
      <c r="DY81" s="16"/>
    </row>
    <row r="82" spans="1:129" s="8" customFormat="1" ht="38.25" customHeight="1" x14ac:dyDescent="0.2">
      <c r="A82" s="19"/>
      <c r="B82" s="724"/>
      <c r="C82" s="1030"/>
      <c r="D82" s="509" t="s">
        <v>164</v>
      </c>
      <c r="E82" s="496"/>
      <c r="F82" s="449">
        <f>0.216/1000</f>
        <v>2.1599999999999999E-4</v>
      </c>
      <c r="G82" s="497"/>
      <c r="H82" s="498"/>
      <c r="I82" s="498"/>
      <c r="J82" s="498"/>
      <c r="K82" s="499"/>
      <c r="L82" s="500"/>
      <c r="M82" s="501"/>
      <c r="N82" s="212"/>
      <c r="O82"/>
      <c r="P82" s="502"/>
      <c r="Q82" s="449">
        <f>0.216/1000</f>
        <v>2.1599999999999999E-4</v>
      </c>
      <c r="R82" s="503"/>
      <c r="S82" s="504"/>
      <c r="T82" s="504"/>
      <c r="U82" s="504"/>
      <c r="V82" s="505"/>
      <c r="W82" s="506"/>
      <c r="X82" s="507"/>
      <c r="Y82" s="508"/>
      <c r="Z82" s="19"/>
      <c r="AA82" s="19"/>
      <c r="AB82" s="449">
        <f>0.216/1000</f>
        <v>2.1599999999999999E-4</v>
      </c>
      <c r="AC82" s="604">
        <f>AB82*'Données de consommation'!K83</f>
        <v>4.6510545599999995</v>
      </c>
      <c r="AD82" s="611"/>
      <c r="AE82" s="611"/>
      <c r="AF82" s="611"/>
      <c r="AG82" s="612"/>
      <c r="AH82" s="281">
        <f t="shared" si="16"/>
        <v>4.6510545599999995</v>
      </c>
      <c r="AI82" s="613">
        <v>0.5</v>
      </c>
      <c r="AJ82" s="636">
        <f>'Emissions 2010_2014_2017'!$AH82*'Emissions 2010_2014_2017'!$AI82</f>
        <v>2.3255272799999998</v>
      </c>
      <c r="AK82" s="703"/>
      <c r="AL82" s="852"/>
      <c r="AM82" s="19"/>
      <c r="AN82" s="2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16"/>
    </row>
    <row r="83" spans="1:129" s="8" customFormat="1" ht="25.5" customHeight="1" thickBot="1" x14ac:dyDescent="0.25">
      <c r="A83" s="19"/>
      <c r="B83" s="724"/>
      <c r="C83" s="1031"/>
      <c r="D83" s="756" t="s">
        <v>163</v>
      </c>
      <c r="E83" s="791"/>
      <c r="F83" s="454">
        <f>0.223/1000</f>
        <v>2.23E-4</v>
      </c>
      <c r="G83" s="792"/>
      <c r="H83" s="793"/>
      <c r="I83" s="793"/>
      <c r="J83" s="793"/>
      <c r="K83" s="794"/>
      <c r="L83" s="795"/>
      <c r="M83" s="796"/>
      <c r="N83" s="212"/>
      <c r="O83"/>
      <c r="P83" s="813"/>
      <c r="Q83" s="454">
        <f>0.223/1000</f>
        <v>2.23E-4</v>
      </c>
      <c r="R83" s="814"/>
      <c r="S83" s="815"/>
      <c r="T83" s="815"/>
      <c r="U83" s="815"/>
      <c r="V83" s="816"/>
      <c r="W83" s="817"/>
      <c r="X83" s="818"/>
      <c r="Y83" s="819"/>
      <c r="Z83" s="19"/>
      <c r="AA83" s="19"/>
      <c r="AB83" s="454">
        <f>0.223/1000</f>
        <v>2.23E-4</v>
      </c>
      <c r="AC83" s="631">
        <f>AB83*'Données de consommation'!K84</f>
        <v>10.06237994</v>
      </c>
      <c r="AD83" s="624"/>
      <c r="AE83" s="624"/>
      <c r="AF83" s="624"/>
      <c r="AG83" s="625"/>
      <c r="AH83" s="853">
        <f t="shared" si="16"/>
        <v>10.06237994</v>
      </c>
      <c r="AI83" s="634">
        <v>0.5</v>
      </c>
      <c r="AJ83" s="844">
        <f>'Emissions 2010_2014_2017'!$AH83*'Emissions 2010_2014_2017'!$AI83</f>
        <v>5.0311899699999998</v>
      </c>
      <c r="AK83" s="854"/>
      <c r="AL83" s="855"/>
      <c r="AM83" s="19"/>
      <c r="AN83" s="2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16"/>
    </row>
    <row r="84" spans="1:129" s="8" customFormat="1" ht="27.75" customHeight="1" x14ac:dyDescent="0.2">
      <c r="A84" s="19"/>
      <c r="B84" s="724"/>
      <c r="C84" s="1059" t="s">
        <v>68</v>
      </c>
      <c r="D84" s="1060"/>
      <c r="E84" s="471">
        <f>0.2505/1000</f>
        <v>2.5050000000000002E-4</v>
      </c>
      <c r="F84" s="785">
        <f>0.251/1000</f>
        <v>2.5099999999999998E-4</v>
      </c>
      <c r="G84" s="797">
        <f>F84*'Données de consommation'!E85</f>
        <v>148.44441199999997</v>
      </c>
      <c r="H84" s="394"/>
      <c r="I84" s="394"/>
      <c r="J84" s="394"/>
      <c r="K84" s="395"/>
      <c r="L84" s="378">
        <f>SUM(G84:K84)</f>
        <v>148.44441199999997</v>
      </c>
      <c r="M84" s="798">
        <f>0.5*L84</f>
        <v>74.222205999999986</v>
      </c>
      <c r="N84" s="212"/>
      <c r="O84"/>
      <c r="P84" s="807">
        <f>0.251/1000</f>
        <v>2.5099999999999998E-4</v>
      </c>
      <c r="Q84" s="785">
        <f>0.251/1000</f>
        <v>2.5099999999999998E-4</v>
      </c>
      <c r="R84" s="808">
        <f>'Données de consommation'!H85*'Emissions 2010_2014_2017'!P84</f>
        <v>200.23775999999998</v>
      </c>
      <c r="S84" s="809"/>
      <c r="T84" s="809"/>
      <c r="U84" s="809"/>
      <c r="V84" s="810"/>
      <c r="W84" s="290">
        <f>SUM($R84:$V84)</f>
        <v>200.23775999999998</v>
      </c>
      <c r="X84" s="811">
        <v>0.5</v>
      </c>
      <c r="Y84" s="812">
        <f>W84*X84</f>
        <v>100.11887999999999</v>
      </c>
      <c r="Z84" s="19"/>
      <c r="AA84" s="19"/>
      <c r="AB84" s="822"/>
      <c r="AC84" s="849"/>
      <c r="AD84" s="859"/>
      <c r="AE84" s="859"/>
      <c r="AF84" s="859"/>
      <c r="AG84" s="860"/>
      <c r="AH84" s="856">
        <f>SUM(AH85:AH96)</f>
        <v>197.8760978</v>
      </c>
      <c r="AI84" s="608"/>
      <c r="AJ84" s="838">
        <f>SUM(AJ85:AJ96)</f>
        <v>98.938048899999998</v>
      </c>
      <c r="AK84" s="837">
        <f>$AH84-$L84</f>
        <v>49.431685800000025</v>
      </c>
      <c r="AL84" s="857">
        <f>$AH84-$W84</f>
        <v>-2.3616621999999836</v>
      </c>
      <c r="AM84" s="19"/>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c r="CA84" s="16"/>
      <c r="CB84" s="16"/>
      <c r="CC84" s="16"/>
      <c r="CD84" s="16"/>
      <c r="CE84" s="16"/>
      <c r="CF84" s="16"/>
      <c r="CG84" s="16"/>
      <c r="CH84" s="16"/>
      <c r="CI84" s="16"/>
      <c r="CJ84" s="16"/>
      <c r="CK84" s="16"/>
      <c r="CL84" s="16"/>
      <c r="CM84" s="16"/>
      <c r="CN84" s="16"/>
      <c r="CO84" s="16"/>
      <c r="CP84" s="16"/>
      <c r="CQ84" s="16"/>
      <c r="CR84" s="16"/>
      <c r="CS84" s="16"/>
      <c r="CT84" s="16"/>
      <c r="CU84" s="16"/>
      <c r="CV84" s="16"/>
      <c r="CW84" s="16"/>
      <c r="CX84" s="16"/>
      <c r="CY84" s="16"/>
      <c r="CZ84" s="16"/>
      <c r="DA84" s="16"/>
      <c r="DB84" s="16"/>
      <c r="DC84" s="16"/>
      <c r="DD84" s="16"/>
      <c r="DE84" s="16"/>
      <c r="DF84" s="16"/>
      <c r="DG84" s="16"/>
      <c r="DH84" s="16"/>
      <c r="DI84" s="16"/>
      <c r="DJ84" s="16"/>
      <c r="DK84" s="16"/>
      <c r="DL84" s="16"/>
      <c r="DM84" s="16"/>
      <c r="DN84" s="16"/>
      <c r="DO84" s="16"/>
      <c r="DP84" s="16"/>
      <c r="DQ84" s="16"/>
      <c r="DR84" s="16"/>
      <c r="DS84" s="16"/>
      <c r="DT84" s="16"/>
      <c r="DU84" s="16"/>
      <c r="DV84" s="16"/>
      <c r="DW84" s="16"/>
      <c r="DX84" s="16"/>
      <c r="DY84" s="16"/>
    </row>
    <row r="85" spans="1:129" s="8" customFormat="1" ht="27.75" customHeight="1" x14ac:dyDescent="0.2">
      <c r="A85" s="19"/>
      <c r="B85" s="724"/>
      <c r="C85" s="1100" t="s">
        <v>68</v>
      </c>
      <c r="D85" s="18" t="s">
        <v>150</v>
      </c>
      <c r="E85" s="496"/>
      <c r="F85" s="449">
        <f>0.293/1000</f>
        <v>2.9299999999999997E-4</v>
      </c>
      <c r="G85" s="497"/>
      <c r="H85" s="497"/>
      <c r="I85" s="497"/>
      <c r="J85" s="497"/>
      <c r="K85" s="497"/>
      <c r="L85" s="497"/>
      <c r="M85" s="799"/>
      <c r="N85" s="212"/>
      <c r="O85"/>
      <c r="P85" s="502"/>
      <c r="Q85" s="449">
        <f>0.293/1000</f>
        <v>2.9299999999999997E-4</v>
      </c>
      <c r="R85" s="503"/>
      <c r="S85" s="503"/>
      <c r="T85" s="503"/>
      <c r="U85" s="503"/>
      <c r="V85" s="503"/>
      <c r="W85" s="503"/>
      <c r="X85" s="503"/>
      <c r="Y85" s="820"/>
      <c r="Z85" s="19"/>
      <c r="AA85" s="19"/>
      <c r="AB85" s="449">
        <f>0.293/1000</f>
        <v>2.9299999999999997E-4</v>
      </c>
      <c r="AC85" s="604">
        <f>AB85*'Données de consommation'!K86</f>
        <v>4.8809404999999995</v>
      </c>
      <c r="AD85" s="611"/>
      <c r="AE85" s="611"/>
      <c r="AF85" s="611"/>
      <c r="AG85" s="612"/>
      <c r="AH85" s="561">
        <f t="shared" si="16"/>
        <v>4.8809404999999995</v>
      </c>
      <c r="AI85" s="613">
        <v>0.5</v>
      </c>
      <c r="AJ85" s="636">
        <f>'Emissions 2010_2014_2017'!$AH85*'Emissions 2010_2014_2017'!$AI85</f>
        <v>2.4404702499999997</v>
      </c>
      <c r="AK85" s="679"/>
      <c r="AL85" s="841"/>
      <c r="AM85" s="19"/>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c r="CY85" s="16"/>
      <c r="CZ85" s="16"/>
      <c r="DA85" s="16"/>
      <c r="DB85" s="16"/>
      <c r="DC85" s="16"/>
      <c r="DD85" s="16"/>
      <c r="DE85" s="16"/>
      <c r="DF85" s="16"/>
      <c r="DG85" s="16"/>
      <c r="DH85" s="16"/>
      <c r="DI85" s="16"/>
      <c r="DJ85" s="16"/>
      <c r="DK85" s="16"/>
      <c r="DL85" s="16"/>
      <c r="DM85" s="16"/>
      <c r="DN85" s="16"/>
      <c r="DO85" s="16"/>
      <c r="DP85" s="16"/>
      <c r="DQ85" s="16"/>
      <c r="DR85" s="16"/>
      <c r="DS85" s="16"/>
      <c r="DT85" s="16"/>
      <c r="DU85" s="16"/>
      <c r="DV85" s="16"/>
      <c r="DW85" s="16"/>
      <c r="DX85" s="16"/>
      <c r="DY85" s="16"/>
    </row>
    <row r="86" spans="1:129" s="8" customFormat="1" ht="41.25" customHeight="1" x14ac:dyDescent="0.2">
      <c r="A86" s="19"/>
      <c r="B86" s="724"/>
      <c r="C86" s="1032"/>
      <c r="D86" s="18" t="s">
        <v>152</v>
      </c>
      <c r="E86" s="496"/>
      <c r="F86" s="449">
        <f>0.216/1000</f>
        <v>2.1599999999999999E-4</v>
      </c>
      <c r="G86" s="497"/>
      <c r="H86" s="497"/>
      <c r="I86" s="497"/>
      <c r="J86" s="497"/>
      <c r="K86" s="497"/>
      <c r="L86" s="497"/>
      <c r="M86" s="799"/>
      <c r="N86" s="212"/>
      <c r="O86"/>
      <c r="P86" s="502"/>
      <c r="Q86" s="449">
        <f>0.216/1000</f>
        <v>2.1599999999999999E-4</v>
      </c>
      <c r="R86" s="503"/>
      <c r="S86" s="503"/>
      <c r="T86" s="503"/>
      <c r="U86" s="503"/>
      <c r="V86" s="503"/>
      <c r="W86" s="503"/>
      <c r="X86" s="503"/>
      <c r="Y86" s="820"/>
      <c r="Z86" s="19"/>
      <c r="AA86" s="19"/>
      <c r="AB86" s="449">
        <f>0.216/1000</f>
        <v>2.1599999999999999E-4</v>
      </c>
      <c r="AC86" s="604">
        <f>AB86*'Données de consommation'!K87</f>
        <v>12.351715919999998</v>
      </c>
      <c r="AD86" s="611"/>
      <c r="AE86" s="611"/>
      <c r="AF86" s="611"/>
      <c r="AG86" s="612"/>
      <c r="AH86" s="561">
        <f t="shared" si="16"/>
        <v>12.351715919999998</v>
      </c>
      <c r="AI86" s="613">
        <v>0.5</v>
      </c>
      <c r="AJ86" s="636">
        <f>'Emissions 2010_2014_2017'!$AH86*'Emissions 2010_2014_2017'!$AI86</f>
        <v>6.1758579599999992</v>
      </c>
      <c r="AK86" s="679"/>
      <c r="AL86" s="841"/>
      <c r="AM86" s="19"/>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c r="CA86" s="16"/>
      <c r="CB86" s="16"/>
      <c r="CC86" s="16"/>
      <c r="CD86" s="16"/>
      <c r="CE86" s="16"/>
      <c r="CF86" s="16"/>
      <c r="CG86" s="16"/>
      <c r="CH86" s="16"/>
      <c r="CI86" s="16"/>
      <c r="CJ86" s="16"/>
      <c r="CK86" s="16"/>
      <c r="CL86" s="16"/>
      <c r="CM86" s="16"/>
      <c r="CN86" s="16"/>
      <c r="CO86" s="16"/>
      <c r="CP86" s="16"/>
      <c r="CQ86" s="16"/>
      <c r="CR86" s="16"/>
      <c r="CS86" s="16"/>
      <c r="CT86" s="16"/>
      <c r="CU86" s="16"/>
      <c r="CV86" s="16"/>
      <c r="CW86" s="16"/>
      <c r="CX86" s="16"/>
      <c r="CY86" s="16"/>
      <c r="CZ86" s="16"/>
      <c r="DA86" s="16"/>
      <c r="DB86" s="16"/>
      <c r="DC86" s="16"/>
      <c r="DD86" s="16"/>
      <c r="DE86" s="16"/>
      <c r="DF86" s="16"/>
      <c r="DG86" s="16"/>
      <c r="DH86" s="16"/>
      <c r="DI86" s="16"/>
      <c r="DJ86" s="16"/>
      <c r="DK86" s="16"/>
      <c r="DL86" s="16"/>
      <c r="DM86" s="16"/>
      <c r="DN86" s="16"/>
      <c r="DO86" s="16"/>
      <c r="DP86" s="16"/>
      <c r="DQ86" s="16"/>
      <c r="DR86" s="16"/>
      <c r="DS86" s="16"/>
      <c r="DT86" s="16"/>
      <c r="DU86" s="16"/>
      <c r="DV86" s="16"/>
      <c r="DW86" s="16"/>
      <c r="DX86" s="16"/>
      <c r="DY86" s="16"/>
    </row>
    <row r="87" spans="1:129" s="8" customFormat="1" ht="41.25" customHeight="1" x14ac:dyDescent="0.2">
      <c r="A87" s="19"/>
      <c r="B87" s="724"/>
      <c r="C87" s="1032"/>
      <c r="D87" s="18" t="s">
        <v>151</v>
      </c>
      <c r="E87" s="496"/>
      <c r="F87" s="449">
        <f>0.209/1000</f>
        <v>2.0899999999999998E-4</v>
      </c>
      <c r="G87" s="497"/>
      <c r="H87" s="497"/>
      <c r="I87" s="497"/>
      <c r="J87" s="497"/>
      <c r="K87" s="497"/>
      <c r="L87" s="497"/>
      <c r="M87" s="799"/>
      <c r="N87" s="212"/>
      <c r="O87"/>
      <c r="P87" s="502"/>
      <c r="Q87" s="449">
        <f>0.209/1000</f>
        <v>2.0899999999999998E-4</v>
      </c>
      <c r="R87" s="503"/>
      <c r="S87" s="503"/>
      <c r="T87" s="503"/>
      <c r="U87" s="503"/>
      <c r="V87" s="503"/>
      <c r="W87" s="503"/>
      <c r="X87" s="503"/>
      <c r="Y87" s="820"/>
      <c r="Z87" s="19"/>
      <c r="AA87" s="19"/>
      <c r="AB87" s="449">
        <f>0.209/1000</f>
        <v>2.0899999999999998E-4</v>
      </c>
      <c r="AC87" s="604">
        <f>AB87*'Données de consommation'!K88</f>
        <v>4.0945482599999998</v>
      </c>
      <c r="AD87" s="611"/>
      <c r="AE87" s="611"/>
      <c r="AF87" s="611"/>
      <c r="AG87" s="612"/>
      <c r="AH87" s="561">
        <f t="shared" si="16"/>
        <v>4.0945482599999998</v>
      </c>
      <c r="AI87" s="613">
        <v>0.5</v>
      </c>
      <c r="AJ87" s="636">
        <f>'Emissions 2010_2014_2017'!$AH87*'Emissions 2010_2014_2017'!$AI87</f>
        <v>2.0472741299999999</v>
      </c>
      <c r="AK87" s="679"/>
      <c r="AL87" s="841"/>
      <c r="AM87" s="19"/>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c r="CA87" s="16"/>
      <c r="CB87" s="16"/>
      <c r="CC87" s="16"/>
      <c r="CD87" s="16"/>
      <c r="CE87" s="16"/>
      <c r="CF87" s="16"/>
      <c r="CG87" s="16"/>
      <c r="CH87" s="16"/>
      <c r="CI87" s="16"/>
      <c r="CJ87" s="16"/>
      <c r="CK87" s="16"/>
      <c r="CL87" s="16"/>
      <c r="CM87" s="16"/>
      <c r="CN87" s="16"/>
      <c r="CO87" s="16"/>
      <c r="CP87" s="16"/>
      <c r="CQ87" s="16"/>
      <c r="CR87" s="16"/>
      <c r="CS87" s="16"/>
      <c r="CT87" s="16"/>
      <c r="CU87" s="16"/>
      <c r="CV87" s="16"/>
      <c r="CW87" s="16"/>
      <c r="CX87" s="16"/>
      <c r="CY87" s="16"/>
      <c r="CZ87" s="16"/>
      <c r="DA87" s="16"/>
      <c r="DB87" s="16"/>
      <c r="DC87" s="16"/>
      <c r="DD87" s="16"/>
      <c r="DE87" s="16"/>
      <c r="DF87" s="16"/>
      <c r="DG87" s="16"/>
      <c r="DH87" s="16"/>
      <c r="DI87" s="16"/>
      <c r="DJ87" s="16"/>
      <c r="DK87" s="16"/>
      <c r="DL87" s="16"/>
      <c r="DM87" s="16"/>
      <c r="DN87" s="16"/>
      <c r="DO87" s="16"/>
      <c r="DP87" s="16"/>
      <c r="DQ87" s="16"/>
      <c r="DR87" s="16"/>
      <c r="DS87" s="16"/>
      <c r="DT87" s="16"/>
      <c r="DU87" s="16"/>
      <c r="DV87" s="16"/>
      <c r="DW87" s="16"/>
      <c r="DX87" s="16"/>
      <c r="DY87" s="16"/>
    </row>
    <row r="88" spans="1:129" s="8" customFormat="1" ht="39" customHeight="1" x14ac:dyDescent="0.2">
      <c r="A88" s="19"/>
      <c r="B88" s="724"/>
      <c r="C88" s="1032"/>
      <c r="D88" s="18" t="s">
        <v>153</v>
      </c>
      <c r="E88" s="496"/>
      <c r="F88" s="449">
        <f>0.251/1000</f>
        <v>2.5099999999999998E-4</v>
      </c>
      <c r="G88" s="497"/>
      <c r="H88" s="497"/>
      <c r="I88" s="497"/>
      <c r="J88" s="497"/>
      <c r="K88" s="497"/>
      <c r="L88" s="497"/>
      <c r="M88" s="799"/>
      <c r="N88" s="212"/>
      <c r="O88"/>
      <c r="P88" s="502"/>
      <c r="Q88" s="449">
        <f>0.251/1000</f>
        <v>2.5099999999999998E-4</v>
      </c>
      <c r="R88" s="503"/>
      <c r="S88" s="503"/>
      <c r="T88" s="503"/>
      <c r="U88" s="503"/>
      <c r="V88" s="503"/>
      <c r="W88" s="503"/>
      <c r="X88" s="503"/>
      <c r="Y88" s="820"/>
      <c r="Z88" s="19"/>
      <c r="AA88" s="19"/>
      <c r="AB88" s="449">
        <f>0.251/1000</f>
        <v>2.5099999999999998E-4</v>
      </c>
      <c r="AC88" s="604">
        <f>AB88*'Données de consommation'!K89</f>
        <v>0</v>
      </c>
      <c r="AD88" s="611"/>
      <c r="AE88" s="611"/>
      <c r="AF88" s="611"/>
      <c r="AG88" s="612"/>
      <c r="AH88" s="561">
        <f t="shared" si="16"/>
        <v>0</v>
      </c>
      <c r="AI88" s="613">
        <v>0.5</v>
      </c>
      <c r="AJ88" s="636">
        <f>'Emissions 2010_2014_2017'!$AH88*'Emissions 2010_2014_2017'!$AI88</f>
        <v>0</v>
      </c>
      <c r="AK88" s="679"/>
      <c r="AL88" s="841"/>
      <c r="AM88" s="19"/>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c r="CA88" s="16"/>
      <c r="CB88" s="16"/>
      <c r="CC88" s="16"/>
      <c r="CD88" s="16"/>
      <c r="CE88" s="16"/>
      <c r="CF88" s="16"/>
      <c r="CG88" s="16"/>
      <c r="CH88" s="16"/>
      <c r="CI88" s="16"/>
      <c r="CJ88" s="16"/>
      <c r="CK88" s="16"/>
      <c r="CL88" s="16"/>
      <c r="CM88" s="16"/>
      <c r="CN88" s="16"/>
      <c r="CO88" s="16"/>
      <c r="CP88" s="16"/>
      <c r="CQ88" s="16"/>
      <c r="CR88" s="16"/>
      <c r="CS88" s="16"/>
      <c r="CT88" s="16"/>
      <c r="CU88" s="16"/>
      <c r="CV88" s="16"/>
      <c r="CW88" s="16"/>
      <c r="CX88" s="16"/>
      <c r="CY88" s="16"/>
      <c r="CZ88" s="16"/>
      <c r="DA88" s="16"/>
      <c r="DB88" s="16"/>
      <c r="DC88" s="16"/>
      <c r="DD88" s="16"/>
      <c r="DE88" s="16"/>
      <c r="DF88" s="16"/>
      <c r="DG88" s="16"/>
      <c r="DH88" s="16"/>
      <c r="DI88" s="16"/>
      <c r="DJ88" s="16"/>
      <c r="DK88" s="16"/>
      <c r="DL88" s="16"/>
      <c r="DM88" s="16"/>
      <c r="DN88" s="16"/>
      <c r="DO88" s="16"/>
      <c r="DP88" s="16"/>
      <c r="DQ88" s="16"/>
      <c r="DR88" s="16"/>
      <c r="DS88" s="16"/>
      <c r="DT88" s="16"/>
      <c r="DU88" s="16"/>
      <c r="DV88" s="16"/>
      <c r="DW88" s="16"/>
      <c r="DX88" s="16"/>
      <c r="DY88" s="16"/>
    </row>
    <row r="89" spans="1:129" s="8" customFormat="1" ht="42.75" customHeight="1" x14ac:dyDescent="0.2">
      <c r="A89" s="19"/>
      <c r="B89" s="724"/>
      <c r="C89" s="1032"/>
      <c r="D89" s="18" t="s">
        <v>154</v>
      </c>
      <c r="E89" s="496"/>
      <c r="F89" s="449">
        <f>0.258/1000</f>
        <v>2.5799999999999998E-4</v>
      </c>
      <c r="G89" s="497"/>
      <c r="H89" s="497"/>
      <c r="I89" s="497"/>
      <c r="J89" s="497"/>
      <c r="K89" s="497"/>
      <c r="L89" s="497"/>
      <c r="M89" s="799"/>
      <c r="N89" s="212"/>
      <c r="O89"/>
      <c r="P89" s="502"/>
      <c r="Q89" s="449">
        <f>0.258/1000</f>
        <v>2.5799999999999998E-4</v>
      </c>
      <c r="R89" s="503"/>
      <c r="S89" s="503"/>
      <c r="T89" s="503"/>
      <c r="U89" s="503"/>
      <c r="V89" s="503"/>
      <c r="W89" s="503"/>
      <c r="X89" s="503"/>
      <c r="Y89" s="820"/>
      <c r="Z89" s="19"/>
      <c r="AA89" s="19"/>
      <c r="AB89" s="449">
        <f>0.258/1000</f>
        <v>2.5799999999999998E-4</v>
      </c>
      <c r="AC89" s="604">
        <f>AB89*'Données de consommation'!K90</f>
        <v>0</v>
      </c>
      <c r="AD89" s="611"/>
      <c r="AE89" s="611"/>
      <c r="AF89" s="611"/>
      <c r="AG89" s="612"/>
      <c r="AH89" s="561">
        <f t="shared" si="16"/>
        <v>0</v>
      </c>
      <c r="AI89" s="613">
        <v>0.5</v>
      </c>
      <c r="AJ89" s="636">
        <f>'Emissions 2010_2014_2017'!$AH89*'Emissions 2010_2014_2017'!$AI89</f>
        <v>0</v>
      </c>
      <c r="AK89" s="679"/>
      <c r="AL89" s="841"/>
      <c r="AM89" s="19"/>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c r="CA89" s="16"/>
      <c r="CB89" s="16"/>
      <c r="CC89" s="16"/>
      <c r="CD89" s="16"/>
      <c r="CE89" s="16"/>
      <c r="CF89" s="16"/>
      <c r="CG89" s="16"/>
      <c r="CH89" s="16"/>
      <c r="CI89" s="16"/>
      <c r="CJ89" s="16"/>
      <c r="CK89" s="16"/>
      <c r="CL89" s="16"/>
      <c r="CM89" s="16"/>
      <c r="CN89" s="16"/>
      <c r="CO89" s="16"/>
      <c r="CP89" s="16"/>
      <c r="CQ89" s="16"/>
      <c r="CR89" s="16"/>
      <c r="CS89" s="16"/>
      <c r="CT89" s="16"/>
      <c r="CU89" s="16"/>
      <c r="CV89" s="16"/>
      <c r="CW89" s="16"/>
      <c r="CX89" s="16"/>
      <c r="CY89" s="16"/>
      <c r="CZ89" s="16"/>
      <c r="DA89" s="16"/>
      <c r="DB89" s="16"/>
      <c r="DC89" s="16"/>
      <c r="DD89" s="16"/>
      <c r="DE89" s="16"/>
      <c r="DF89" s="16"/>
      <c r="DG89" s="16"/>
      <c r="DH89" s="16"/>
      <c r="DI89" s="16"/>
      <c r="DJ89" s="16"/>
      <c r="DK89" s="16"/>
      <c r="DL89" s="16"/>
      <c r="DM89" s="16"/>
      <c r="DN89" s="16"/>
      <c r="DO89" s="16"/>
      <c r="DP89" s="16"/>
      <c r="DQ89" s="16"/>
      <c r="DR89" s="16"/>
      <c r="DS89" s="16"/>
      <c r="DT89" s="16"/>
      <c r="DU89" s="16"/>
      <c r="DV89" s="16"/>
      <c r="DW89" s="16"/>
      <c r="DX89" s="16"/>
      <c r="DY89" s="16"/>
    </row>
    <row r="90" spans="1:129" s="8" customFormat="1" ht="40.5" customHeight="1" x14ac:dyDescent="0.2">
      <c r="A90" s="19"/>
      <c r="B90" s="724"/>
      <c r="C90" s="1032"/>
      <c r="D90" s="18" t="s">
        <v>155</v>
      </c>
      <c r="E90" s="496"/>
      <c r="F90" s="449">
        <f>0.223/1000</f>
        <v>2.23E-4</v>
      </c>
      <c r="G90" s="497"/>
      <c r="H90" s="497"/>
      <c r="I90" s="497"/>
      <c r="J90" s="497"/>
      <c r="K90" s="497"/>
      <c r="L90" s="497"/>
      <c r="M90" s="799"/>
      <c r="N90" s="212"/>
      <c r="O90"/>
      <c r="P90" s="502"/>
      <c r="Q90" s="449">
        <f>0.223/1000</f>
        <v>2.23E-4</v>
      </c>
      <c r="R90" s="503"/>
      <c r="S90" s="503"/>
      <c r="T90" s="503"/>
      <c r="U90" s="503"/>
      <c r="V90" s="503"/>
      <c r="W90" s="503"/>
      <c r="X90" s="503"/>
      <c r="Y90" s="820"/>
      <c r="Z90" s="19"/>
      <c r="AA90" s="19"/>
      <c r="AB90" s="449">
        <f>0.223/1000</f>
        <v>2.23E-4</v>
      </c>
      <c r="AC90" s="604">
        <f>AB90*'Données de consommation'!K91</f>
        <v>0</v>
      </c>
      <c r="AD90" s="611"/>
      <c r="AE90" s="611"/>
      <c r="AF90" s="611"/>
      <c r="AG90" s="612"/>
      <c r="AH90" s="561">
        <f t="shared" si="16"/>
        <v>0</v>
      </c>
      <c r="AI90" s="613">
        <v>0.5</v>
      </c>
      <c r="AJ90" s="636">
        <f>'Emissions 2010_2014_2017'!$AH90*'Emissions 2010_2014_2017'!$AI90</f>
        <v>0</v>
      </c>
      <c r="AK90" s="679"/>
      <c r="AL90" s="841"/>
      <c r="AM90" s="19"/>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c r="CA90" s="16"/>
      <c r="CB90" s="16"/>
      <c r="CC90" s="16"/>
      <c r="CD90" s="16"/>
      <c r="CE90" s="16"/>
      <c r="CF90" s="16"/>
      <c r="CG90" s="16"/>
      <c r="CH90" s="16"/>
      <c r="CI90" s="16"/>
      <c r="CJ90" s="16"/>
      <c r="CK90" s="16"/>
      <c r="CL90" s="16"/>
      <c r="CM90" s="16"/>
      <c r="CN90" s="16"/>
      <c r="CO90" s="16"/>
      <c r="CP90" s="16"/>
      <c r="CQ90" s="16"/>
      <c r="CR90" s="16"/>
      <c r="CS90" s="16"/>
      <c r="CT90" s="16"/>
      <c r="CU90" s="16"/>
      <c r="CV90" s="16"/>
      <c r="CW90" s="16"/>
      <c r="CX90" s="16"/>
      <c r="CY90" s="16"/>
      <c r="CZ90" s="16"/>
      <c r="DA90" s="16"/>
      <c r="DB90" s="16"/>
      <c r="DC90" s="16"/>
      <c r="DD90" s="16"/>
      <c r="DE90" s="16"/>
      <c r="DF90" s="16"/>
      <c r="DG90" s="16"/>
      <c r="DH90" s="16"/>
      <c r="DI90" s="16"/>
      <c r="DJ90" s="16"/>
      <c r="DK90" s="16"/>
      <c r="DL90" s="16"/>
      <c r="DM90" s="16"/>
      <c r="DN90" s="16"/>
      <c r="DO90" s="16"/>
      <c r="DP90" s="16"/>
      <c r="DQ90" s="16"/>
      <c r="DR90" s="16"/>
      <c r="DS90" s="16"/>
      <c r="DT90" s="16"/>
      <c r="DU90" s="16"/>
      <c r="DV90" s="16"/>
      <c r="DW90" s="16"/>
      <c r="DX90" s="16"/>
      <c r="DY90" s="16"/>
    </row>
    <row r="91" spans="1:129" s="8" customFormat="1" ht="40.5" customHeight="1" x14ac:dyDescent="0.2">
      <c r="A91" s="19"/>
      <c r="B91" s="724"/>
      <c r="C91" s="1032"/>
      <c r="D91" s="18" t="s">
        <v>156</v>
      </c>
      <c r="E91" s="496"/>
      <c r="F91" s="449">
        <f>0.209/1000</f>
        <v>2.0899999999999998E-4</v>
      </c>
      <c r="G91" s="497"/>
      <c r="H91" s="497"/>
      <c r="I91" s="497"/>
      <c r="J91" s="497"/>
      <c r="K91" s="497"/>
      <c r="L91" s="497"/>
      <c r="M91" s="799"/>
      <c r="N91" s="212"/>
      <c r="O91"/>
      <c r="P91" s="502"/>
      <c r="Q91" s="449">
        <f>0.209/1000</f>
        <v>2.0899999999999998E-4</v>
      </c>
      <c r="R91" s="503"/>
      <c r="S91" s="503"/>
      <c r="T91" s="503"/>
      <c r="U91" s="503"/>
      <c r="V91" s="503"/>
      <c r="W91" s="503"/>
      <c r="X91" s="503"/>
      <c r="Y91" s="820"/>
      <c r="Z91" s="19"/>
      <c r="AA91" s="19"/>
      <c r="AB91" s="449">
        <f>0.209/1000</f>
        <v>2.0899999999999998E-4</v>
      </c>
      <c r="AC91" s="604">
        <f>AB91*'Données de consommation'!K92</f>
        <v>29.940855119999995</v>
      </c>
      <c r="AD91" s="611"/>
      <c r="AE91" s="611"/>
      <c r="AF91" s="611"/>
      <c r="AG91" s="612"/>
      <c r="AH91" s="561">
        <f t="shared" si="16"/>
        <v>29.940855119999995</v>
      </c>
      <c r="AI91" s="613">
        <v>0.5</v>
      </c>
      <c r="AJ91" s="636">
        <f>'Emissions 2010_2014_2017'!$AH91*'Emissions 2010_2014_2017'!$AI91</f>
        <v>14.970427559999997</v>
      </c>
      <c r="AK91" s="679"/>
      <c r="AL91" s="841"/>
      <c r="AM91" s="19"/>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c r="CA91" s="16"/>
      <c r="CB91" s="16"/>
      <c r="CC91" s="16"/>
      <c r="CD91" s="16"/>
      <c r="CE91" s="16"/>
      <c r="CF91" s="16"/>
      <c r="CG91" s="16"/>
      <c r="CH91" s="16"/>
      <c r="CI91" s="16"/>
      <c r="CJ91" s="16"/>
      <c r="CK91" s="16"/>
      <c r="CL91" s="16"/>
      <c r="CM91" s="16"/>
      <c r="CN91" s="16"/>
      <c r="CO91" s="16"/>
      <c r="CP91" s="16"/>
      <c r="CQ91" s="16"/>
      <c r="CR91" s="16"/>
      <c r="CS91" s="16"/>
      <c r="CT91" s="16"/>
      <c r="CU91" s="16"/>
      <c r="CV91" s="16"/>
      <c r="CW91" s="16"/>
      <c r="CX91" s="16"/>
      <c r="CY91" s="16"/>
      <c r="CZ91" s="16"/>
      <c r="DA91" s="16"/>
      <c r="DB91" s="16"/>
      <c r="DC91" s="16"/>
      <c r="DD91" s="16"/>
      <c r="DE91" s="16"/>
      <c r="DF91" s="16"/>
      <c r="DG91" s="16"/>
      <c r="DH91" s="16"/>
      <c r="DI91" s="16"/>
      <c r="DJ91" s="16"/>
      <c r="DK91" s="16"/>
      <c r="DL91" s="16"/>
      <c r="DM91" s="16"/>
      <c r="DN91" s="16"/>
      <c r="DO91" s="16"/>
      <c r="DP91" s="16"/>
      <c r="DQ91" s="16"/>
      <c r="DR91" s="16"/>
      <c r="DS91" s="16"/>
      <c r="DT91" s="16"/>
      <c r="DU91" s="16"/>
      <c r="DV91" s="16"/>
      <c r="DW91" s="16"/>
      <c r="DX91" s="16"/>
      <c r="DY91" s="16"/>
    </row>
    <row r="92" spans="1:129" s="8" customFormat="1" ht="42.75" customHeight="1" x14ac:dyDescent="0.2">
      <c r="A92" s="19"/>
      <c r="B92" s="724"/>
      <c r="C92" s="1032"/>
      <c r="D92" s="18" t="s">
        <v>161</v>
      </c>
      <c r="E92" s="496"/>
      <c r="F92" s="449">
        <f>0.209/1000</f>
        <v>2.0899999999999998E-4</v>
      </c>
      <c r="G92" s="497"/>
      <c r="H92" s="497"/>
      <c r="I92" s="497"/>
      <c r="J92" s="497"/>
      <c r="K92" s="497"/>
      <c r="L92" s="497"/>
      <c r="M92" s="799"/>
      <c r="N92" s="212"/>
      <c r="O92"/>
      <c r="P92" s="502"/>
      <c r="Q92" s="449">
        <f>0.209/1000</f>
        <v>2.0899999999999998E-4</v>
      </c>
      <c r="R92" s="503"/>
      <c r="S92" s="503"/>
      <c r="T92" s="503"/>
      <c r="U92" s="503"/>
      <c r="V92" s="503"/>
      <c r="W92" s="503"/>
      <c r="X92" s="503"/>
      <c r="Y92" s="820"/>
      <c r="Z92" s="19"/>
      <c r="AA92" s="19"/>
      <c r="AB92" s="449">
        <f>0.209/1000</f>
        <v>2.0899999999999998E-4</v>
      </c>
      <c r="AC92" s="604">
        <f>AB92*'Données de consommation'!K93</f>
        <v>25.93927424</v>
      </c>
      <c r="AD92" s="611"/>
      <c r="AE92" s="611"/>
      <c r="AF92" s="611"/>
      <c r="AG92" s="612"/>
      <c r="AH92" s="561">
        <f t="shared" si="16"/>
        <v>25.93927424</v>
      </c>
      <c r="AI92" s="613">
        <v>0.5</v>
      </c>
      <c r="AJ92" s="636">
        <f>'Emissions 2010_2014_2017'!$AH92*'Emissions 2010_2014_2017'!$AI92</f>
        <v>12.96963712</v>
      </c>
      <c r="AK92" s="679"/>
      <c r="AL92" s="841"/>
      <c r="AM92" s="19"/>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c r="CA92" s="16"/>
      <c r="CB92" s="16"/>
      <c r="CC92" s="16"/>
      <c r="CD92" s="16"/>
      <c r="CE92" s="16"/>
      <c r="CF92" s="16"/>
      <c r="CG92" s="16"/>
      <c r="CH92" s="16"/>
      <c r="CI92" s="16"/>
      <c r="CJ92" s="16"/>
      <c r="CK92" s="16"/>
      <c r="CL92" s="16"/>
      <c r="CM92" s="16"/>
      <c r="CN92" s="16"/>
      <c r="CO92" s="16"/>
      <c r="CP92" s="16"/>
      <c r="CQ92" s="16"/>
      <c r="CR92" s="16"/>
      <c r="CS92" s="16"/>
      <c r="CT92" s="16"/>
      <c r="CU92" s="16"/>
      <c r="CV92" s="16"/>
      <c r="CW92" s="16"/>
      <c r="CX92" s="16"/>
      <c r="CY92" s="16"/>
      <c r="CZ92" s="16"/>
      <c r="DA92" s="16"/>
      <c r="DB92" s="16"/>
      <c r="DC92" s="16"/>
      <c r="DD92" s="16"/>
      <c r="DE92" s="16"/>
      <c r="DF92" s="16"/>
      <c r="DG92" s="16"/>
      <c r="DH92" s="16"/>
      <c r="DI92" s="16"/>
      <c r="DJ92" s="16"/>
      <c r="DK92" s="16"/>
      <c r="DL92" s="16"/>
      <c r="DM92" s="16"/>
      <c r="DN92" s="16"/>
      <c r="DO92" s="16"/>
      <c r="DP92" s="16"/>
      <c r="DQ92" s="16"/>
      <c r="DR92" s="16"/>
      <c r="DS92" s="16"/>
      <c r="DT92" s="16"/>
      <c r="DU92" s="16"/>
      <c r="DV92" s="16"/>
      <c r="DW92" s="16"/>
      <c r="DX92" s="16"/>
      <c r="DY92" s="16"/>
    </row>
    <row r="93" spans="1:129" s="8" customFormat="1" ht="44.25" customHeight="1" x14ac:dyDescent="0.2">
      <c r="A93" s="19"/>
      <c r="B93" s="724"/>
      <c r="C93" s="1032"/>
      <c r="D93" s="18" t="s">
        <v>157</v>
      </c>
      <c r="E93" s="496"/>
      <c r="F93" s="449">
        <f>0.23/1000</f>
        <v>2.3000000000000001E-4</v>
      </c>
      <c r="G93" s="497"/>
      <c r="H93" s="497"/>
      <c r="I93" s="497"/>
      <c r="J93" s="497"/>
      <c r="K93" s="497"/>
      <c r="L93" s="497"/>
      <c r="M93" s="799"/>
      <c r="N93" s="212"/>
      <c r="O93"/>
      <c r="P93" s="502"/>
      <c r="Q93" s="449">
        <f>0.23/1000</f>
        <v>2.3000000000000001E-4</v>
      </c>
      <c r="R93" s="503"/>
      <c r="S93" s="503"/>
      <c r="T93" s="503"/>
      <c r="U93" s="503"/>
      <c r="V93" s="503"/>
      <c r="W93" s="503"/>
      <c r="X93" s="503"/>
      <c r="Y93" s="820"/>
      <c r="Z93" s="19"/>
      <c r="AA93" s="19"/>
      <c r="AB93" s="449">
        <f>0.23/1000</f>
        <v>2.3000000000000001E-4</v>
      </c>
      <c r="AC93" s="604">
        <f>AB93*'Données de consommation'!K94</f>
        <v>25.5497294</v>
      </c>
      <c r="AD93" s="611"/>
      <c r="AE93" s="611"/>
      <c r="AF93" s="611"/>
      <c r="AG93" s="612"/>
      <c r="AH93" s="561">
        <f t="shared" si="16"/>
        <v>25.5497294</v>
      </c>
      <c r="AI93" s="613">
        <v>0.5</v>
      </c>
      <c r="AJ93" s="636">
        <f>'Emissions 2010_2014_2017'!$AH93*'Emissions 2010_2014_2017'!$AI93</f>
        <v>12.7748647</v>
      </c>
      <c r="AK93" s="679"/>
      <c r="AL93" s="841"/>
      <c r="AM93" s="19"/>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c r="CA93" s="16"/>
      <c r="CB93" s="16"/>
      <c r="CC93" s="16"/>
      <c r="CD93" s="16"/>
      <c r="CE93" s="16"/>
      <c r="CF93" s="16"/>
      <c r="CG93" s="16"/>
      <c r="CH93" s="16"/>
      <c r="CI93" s="16"/>
      <c r="CJ93" s="16"/>
      <c r="CK93" s="16"/>
      <c r="CL93" s="16"/>
      <c r="CM93" s="16"/>
      <c r="CN93" s="16"/>
      <c r="CO93" s="16"/>
      <c r="CP93" s="16"/>
      <c r="CQ93" s="16"/>
      <c r="CR93" s="16"/>
      <c r="CS93" s="16"/>
      <c r="CT93" s="16"/>
      <c r="CU93" s="16"/>
      <c r="CV93" s="16"/>
      <c r="CW93" s="16"/>
      <c r="CX93" s="16"/>
      <c r="CY93" s="16"/>
      <c r="CZ93" s="16"/>
      <c r="DA93" s="16"/>
      <c r="DB93" s="16"/>
      <c r="DC93" s="16"/>
      <c r="DD93" s="16"/>
      <c r="DE93" s="16"/>
      <c r="DF93" s="16"/>
      <c r="DG93" s="16"/>
      <c r="DH93" s="16"/>
      <c r="DI93" s="16"/>
      <c r="DJ93" s="16"/>
      <c r="DK93" s="16"/>
      <c r="DL93" s="16"/>
      <c r="DM93" s="16"/>
      <c r="DN93" s="16"/>
      <c r="DO93" s="16"/>
      <c r="DP93" s="16"/>
      <c r="DQ93" s="16"/>
      <c r="DR93" s="16"/>
      <c r="DS93" s="16"/>
      <c r="DT93" s="16"/>
      <c r="DU93" s="16"/>
      <c r="DV93" s="16"/>
      <c r="DW93" s="16"/>
      <c r="DX93" s="16"/>
      <c r="DY93" s="16"/>
    </row>
    <row r="94" spans="1:129" s="8" customFormat="1" ht="40.5" customHeight="1" x14ac:dyDescent="0.2">
      <c r="A94" s="19"/>
      <c r="B94" s="724"/>
      <c r="C94" s="1032"/>
      <c r="D94" s="18" t="s">
        <v>158</v>
      </c>
      <c r="E94" s="496"/>
      <c r="F94" s="449">
        <f>0.223/1000</f>
        <v>2.23E-4</v>
      </c>
      <c r="G94" s="497"/>
      <c r="H94" s="497"/>
      <c r="I94" s="497"/>
      <c r="J94" s="497"/>
      <c r="K94" s="497"/>
      <c r="L94" s="497"/>
      <c r="M94" s="799"/>
      <c r="N94" s="212"/>
      <c r="O94"/>
      <c r="P94" s="502"/>
      <c r="Q94" s="449">
        <f>0.223/1000</f>
        <v>2.23E-4</v>
      </c>
      <c r="R94" s="503"/>
      <c r="S94" s="503"/>
      <c r="T94" s="503"/>
      <c r="U94" s="503"/>
      <c r="V94" s="503"/>
      <c r="W94" s="503"/>
      <c r="X94" s="503"/>
      <c r="Y94" s="820"/>
      <c r="Z94" s="19"/>
      <c r="AA94" s="19"/>
      <c r="AB94" s="449">
        <f>0.223/1000</f>
        <v>2.23E-4</v>
      </c>
      <c r="AC94" s="604">
        <f>AB94*'Données de consommation'!K95</f>
        <v>51.185022750000002</v>
      </c>
      <c r="AD94" s="611"/>
      <c r="AE94" s="611"/>
      <c r="AF94" s="611"/>
      <c r="AG94" s="612"/>
      <c r="AH94" s="561">
        <f t="shared" si="16"/>
        <v>51.185022750000002</v>
      </c>
      <c r="AI94" s="613">
        <v>0.5</v>
      </c>
      <c r="AJ94" s="636">
        <f>'Emissions 2010_2014_2017'!$AH94*'Emissions 2010_2014_2017'!$AI94</f>
        <v>25.592511375000001</v>
      </c>
      <c r="AK94" s="679"/>
      <c r="AL94" s="841"/>
      <c r="AM94" s="19"/>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c r="CA94" s="16"/>
      <c r="CB94" s="16"/>
      <c r="CC94" s="16"/>
      <c r="CD94" s="16"/>
      <c r="CE94" s="16"/>
      <c r="CF94" s="16"/>
      <c r="CG94" s="16"/>
      <c r="CH94" s="16"/>
      <c r="CI94" s="16"/>
      <c r="CJ94" s="16"/>
      <c r="CK94" s="16"/>
      <c r="CL94" s="16"/>
      <c r="CM94" s="16"/>
      <c r="CN94" s="16"/>
      <c r="CO94" s="16"/>
      <c r="CP94" s="16"/>
      <c r="CQ94" s="16"/>
      <c r="CR94" s="16"/>
      <c r="CS94" s="16"/>
      <c r="CT94" s="16"/>
      <c r="CU94" s="16"/>
      <c r="CV94" s="16"/>
      <c r="CW94" s="16"/>
      <c r="CX94" s="16"/>
      <c r="CY94" s="16"/>
      <c r="CZ94" s="16"/>
      <c r="DA94" s="16"/>
      <c r="DB94" s="16"/>
      <c r="DC94" s="16"/>
      <c r="DD94" s="16"/>
      <c r="DE94" s="16"/>
      <c r="DF94" s="16"/>
      <c r="DG94" s="16"/>
      <c r="DH94" s="16"/>
      <c r="DI94" s="16"/>
      <c r="DJ94" s="16"/>
      <c r="DK94" s="16"/>
      <c r="DL94" s="16"/>
      <c r="DM94" s="16"/>
      <c r="DN94" s="16"/>
      <c r="DO94" s="16"/>
      <c r="DP94" s="16"/>
      <c r="DQ94" s="16"/>
      <c r="DR94" s="16"/>
      <c r="DS94" s="16"/>
      <c r="DT94" s="16"/>
      <c r="DU94" s="16"/>
      <c r="DV94" s="16"/>
      <c r="DW94" s="16"/>
      <c r="DX94" s="16"/>
      <c r="DY94" s="16"/>
    </row>
    <row r="95" spans="1:129" s="8" customFormat="1" ht="39" customHeight="1" x14ac:dyDescent="0.2">
      <c r="A95" s="19"/>
      <c r="B95" s="724"/>
      <c r="C95" s="1032"/>
      <c r="D95" s="18" t="s">
        <v>162</v>
      </c>
      <c r="E95" s="496"/>
      <c r="F95" s="449">
        <f>0.216/1000</f>
        <v>2.1599999999999999E-4</v>
      </c>
      <c r="G95" s="497"/>
      <c r="H95" s="497"/>
      <c r="I95" s="497"/>
      <c r="J95" s="497"/>
      <c r="K95" s="497"/>
      <c r="L95" s="497"/>
      <c r="M95" s="799"/>
      <c r="N95" s="212"/>
      <c r="O95"/>
      <c r="P95" s="502"/>
      <c r="Q95" s="449">
        <f>0.216/1000</f>
        <v>2.1599999999999999E-4</v>
      </c>
      <c r="R95" s="503"/>
      <c r="S95" s="503"/>
      <c r="T95" s="503"/>
      <c r="U95" s="503"/>
      <c r="V95" s="503"/>
      <c r="W95" s="503"/>
      <c r="X95" s="503"/>
      <c r="Y95" s="820"/>
      <c r="Z95" s="19"/>
      <c r="AA95" s="19"/>
      <c r="AB95" s="449">
        <f>0.216/1000</f>
        <v>2.1599999999999999E-4</v>
      </c>
      <c r="AC95" s="604">
        <f>AB95*'Données de consommation'!K96</f>
        <v>8.6972486399999998</v>
      </c>
      <c r="AD95" s="611"/>
      <c r="AE95" s="611"/>
      <c r="AF95" s="611"/>
      <c r="AG95" s="612"/>
      <c r="AH95" s="561">
        <f t="shared" si="16"/>
        <v>8.6972486399999998</v>
      </c>
      <c r="AI95" s="613">
        <v>0.5</v>
      </c>
      <c r="AJ95" s="636">
        <f>'Emissions 2010_2014_2017'!$AH95*'Emissions 2010_2014_2017'!$AI95</f>
        <v>4.3486243199999999</v>
      </c>
      <c r="AK95" s="679"/>
      <c r="AL95" s="841"/>
      <c r="AM95" s="19"/>
      <c r="AN95" s="16"/>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c r="CA95" s="16"/>
      <c r="CB95" s="16"/>
      <c r="CC95" s="16"/>
      <c r="CD95" s="16"/>
      <c r="CE95" s="16"/>
      <c r="CF95" s="16"/>
      <c r="CG95" s="16"/>
      <c r="CH95" s="16"/>
      <c r="CI95" s="16"/>
      <c r="CJ95" s="16"/>
      <c r="CK95" s="16"/>
      <c r="CL95" s="16"/>
      <c r="CM95" s="16"/>
      <c r="CN95" s="16"/>
      <c r="CO95" s="16"/>
      <c r="CP95" s="16"/>
      <c r="CQ95" s="16"/>
      <c r="CR95" s="16"/>
      <c r="CS95" s="16"/>
      <c r="CT95" s="16"/>
      <c r="CU95" s="16"/>
      <c r="CV95" s="16"/>
      <c r="CW95" s="16"/>
      <c r="CX95" s="16"/>
      <c r="CY95" s="16"/>
      <c r="CZ95" s="16"/>
      <c r="DA95" s="16"/>
      <c r="DB95" s="16"/>
      <c r="DC95" s="16"/>
      <c r="DD95" s="16"/>
      <c r="DE95" s="16"/>
      <c r="DF95" s="16"/>
      <c r="DG95" s="16"/>
      <c r="DH95" s="16"/>
      <c r="DI95" s="16"/>
      <c r="DJ95" s="16"/>
      <c r="DK95" s="16"/>
      <c r="DL95" s="16"/>
      <c r="DM95" s="16"/>
      <c r="DN95" s="16"/>
      <c r="DO95" s="16"/>
      <c r="DP95" s="16"/>
      <c r="DQ95" s="16"/>
      <c r="DR95" s="16"/>
      <c r="DS95" s="16"/>
      <c r="DT95" s="16"/>
      <c r="DU95" s="16"/>
      <c r="DV95" s="16"/>
      <c r="DW95" s="16"/>
      <c r="DX95" s="16"/>
      <c r="DY95" s="16"/>
    </row>
    <row r="96" spans="1:129" s="8" customFormat="1" ht="29.25" customHeight="1" thickBot="1" x14ac:dyDescent="0.25">
      <c r="A96" s="19"/>
      <c r="B96" s="724"/>
      <c r="C96" s="1038"/>
      <c r="D96" s="756" t="s">
        <v>163</v>
      </c>
      <c r="E96" s="791"/>
      <c r="F96" s="454">
        <f>0.223/1000</f>
        <v>2.23E-4</v>
      </c>
      <c r="G96" s="792"/>
      <c r="H96" s="792"/>
      <c r="I96" s="792"/>
      <c r="J96" s="792"/>
      <c r="K96" s="792"/>
      <c r="L96" s="792"/>
      <c r="M96" s="800"/>
      <c r="N96" s="212"/>
      <c r="O96"/>
      <c r="P96" s="813"/>
      <c r="Q96" s="454">
        <f>0.223/1000</f>
        <v>2.23E-4</v>
      </c>
      <c r="R96" s="814"/>
      <c r="S96" s="814"/>
      <c r="T96" s="814"/>
      <c r="U96" s="814"/>
      <c r="V96" s="814"/>
      <c r="W96" s="814"/>
      <c r="X96" s="814"/>
      <c r="Y96" s="821"/>
      <c r="Z96" s="19"/>
      <c r="AA96" s="19"/>
      <c r="AB96" s="454">
        <f>0.223/1000</f>
        <v>2.23E-4</v>
      </c>
      <c r="AC96" s="631">
        <f>AB96*'Données de consommation'!K97</f>
        <v>35.236762970000001</v>
      </c>
      <c r="AD96" s="624"/>
      <c r="AE96" s="624"/>
      <c r="AF96" s="624"/>
      <c r="AG96" s="625"/>
      <c r="AH96" s="853">
        <f t="shared" si="16"/>
        <v>35.236762970000001</v>
      </c>
      <c r="AI96" s="634">
        <v>0.5</v>
      </c>
      <c r="AJ96" s="844">
        <f>'Emissions 2010_2014_2017'!$AH96*'Emissions 2010_2014_2017'!$AI96</f>
        <v>17.618381485</v>
      </c>
      <c r="AK96" s="845"/>
      <c r="AL96" s="846"/>
      <c r="AM96" s="19"/>
      <c r="AN96" s="16"/>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c r="CA96" s="16"/>
      <c r="CB96" s="16"/>
      <c r="CC96" s="16"/>
      <c r="CD96" s="16"/>
      <c r="CE96" s="16"/>
      <c r="CF96" s="16"/>
      <c r="CG96" s="16"/>
      <c r="CH96" s="16"/>
      <c r="CI96" s="16"/>
      <c r="CJ96" s="16"/>
      <c r="CK96" s="16"/>
      <c r="CL96" s="16"/>
      <c r="CM96" s="16"/>
      <c r="CN96" s="16"/>
      <c r="CO96" s="16"/>
      <c r="CP96" s="16"/>
      <c r="CQ96" s="16"/>
      <c r="CR96" s="16"/>
      <c r="CS96" s="16"/>
      <c r="CT96" s="16"/>
      <c r="CU96" s="16"/>
      <c r="CV96" s="16"/>
      <c r="CW96" s="16"/>
      <c r="CX96" s="16"/>
      <c r="CY96" s="16"/>
      <c r="CZ96" s="16"/>
      <c r="DA96" s="16"/>
      <c r="DB96" s="16"/>
      <c r="DC96" s="16"/>
      <c r="DD96" s="16"/>
      <c r="DE96" s="16"/>
      <c r="DF96" s="16"/>
      <c r="DG96" s="16"/>
      <c r="DH96" s="16"/>
      <c r="DI96" s="16"/>
      <c r="DJ96" s="16"/>
      <c r="DK96" s="16"/>
      <c r="DL96" s="16"/>
      <c r="DM96" s="16"/>
      <c r="DN96" s="16"/>
      <c r="DO96" s="16"/>
      <c r="DP96" s="16"/>
      <c r="DQ96" s="16"/>
      <c r="DR96" s="16"/>
      <c r="DS96" s="16"/>
      <c r="DT96" s="16"/>
      <c r="DU96" s="16"/>
      <c r="DV96" s="16"/>
      <c r="DW96" s="16"/>
      <c r="DX96" s="16"/>
      <c r="DY96" s="16"/>
    </row>
    <row r="97" spans="1:129" s="8" customFormat="1" ht="27" customHeight="1" x14ac:dyDescent="0.2">
      <c r="A97" s="19"/>
      <c r="B97" s="724"/>
      <c r="C97" s="1059" t="s">
        <v>174</v>
      </c>
      <c r="D97" s="1060"/>
      <c r="E97" s="471">
        <f>0.2505/1000</f>
        <v>2.5050000000000002E-4</v>
      </c>
      <c r="F97" s="785">
        <f>0.251/1000</f>
        <v>2.5099999999999998E-4</v>
      </c>
      <c r="G97" s="797">
        <f>E97*'Données de consommation'!E98</f>
        <v>261.36919499999999</v>
      </c>
      <c r="H97" s="394"/>
      <c r="I97" s="394"/>
      <c r="J97" s="394"/>
      <c r="K97" s="395"/>
      <c r="L97" s="378">
        <f>SUM(G97:K97)</f>
        <v>261.36919499999999</v>
      </c>
      <c r="M97" s="798">
        <f>0.5*L97</f>
        <v>130.6845975</v>
      </c>
      <c r="N97" s="212"/>
      <c r="O97"/>
      <c r="P97" s="807">
        <f>0.251/1000</f>
        <v>2.5099999999999998E-4</v>
      </c>
      <c r="Q97" s="785">
        <f>0.251/1000</f>
        <v>2.5099999999999998E-4</v>
      </c>
      <c r="R97" s="808">
        <f>P97*'Données de consommation'!H98</f>
        <v>149.562366</v>
      </c>
      <c r="S97" s="809"/>
      <c r="T97" s="809"/>
      <c r="U97" s="809"/>
      <c r="V97" s="810"/>
      <c r="W97" s="290">
        <f>SUM($Q97:$U97)</f>
        <v>149.56261699999999</v>
      </c>
      <c r="X97" s="811">
        <v>0.5</v>
      </c>
      <c r="Y97" s="812">
        <f>W97*X97</f>
        <v>74.781308499999994</v>
      </c>
      <c r="Z97" s="19"/>
      <c r="AA97" s="19"/>
      <c r="AB97" s="822"/>
      <c r="AC97" s="839"/>
      <c r="AD97" s="859"/>
      <c r="AE97" s="859"/>
      <c r="AF97" s="859"/>
      <c r="AG97" s="860"/>
      <c r="AH97" s="856">
        <f>SUM(AH98:AH111)</f>
        <v>245.73793042000003</v>
      </c>
      <c r="AI97" s="701"/>
      <c r="AJ97" s="838">
        <f>SUM(AJ98:AJ111)</f>
        <v>109.45203671</v>
      </c>
      <c r="AK97" s="837">
        <f>$AH97-$L97</f>
        <v>-15.631264579999964</v>
      </c>
      <c r="AL97" s="857">
        <f>$AH97-$W97</f>
        <v>96.175313420000037</v>
      </c>
      <c r="AM97" s="19"/>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c r="CA97" s="16"/>
      <c r="CB97" s="16"/>
      <c r="CC97" s="16"/>
      <c r="CD97" s="16"/>
      <c r="CE97" s="16"/>
      <c r="CF97" s="16"/>
      <c r="CG97" s="16"/>
      <c r="CH97" s="16"/>
      <c r="CI97" s="16"/>
      <c r="CJ97" s="16"/>
      <c r="CK97" s="16"/>
      <c r="CL97" s="16"/>
      <c r="CM97" s="16"/>
      <c r="CN97" s="16"/>
      <c r="CO97" s="16"/>
      <c r="CP97" s="16"/>
      <c r="CQ97" s="16"/>
      <c r="CR97" s="16"/>
      <c r="CS97" s="16"/>
      <c r="CT97" s="16"/>
      <c r="CU97" s="16"/>
      <c r="CV97" s="16"/>
      <c r="CW97" s="16"/>
      <c r="CX97" s="16"/>
      <c r="CY97" s="16"/>
      <c r="CZ97" s="16"/>
      <c r="DA97" s="16"/>
      <c r="DB97" s="16"/>
      <c r="DC97" s="16"/>
      <c r="DD97" s="16"/>
      <c r="DE97" s="16"/>
      <c r="DF97" s="16"/>
      <c r="DG97" s="16"/>
      <c r="DH97" s="16"/>
      <c r="DI97" s="16"/>
      <c r="DJ97" s="16"/>
      <c r="DK97" s="16"/>
      <c r="DL97" s="16"/>
      <c r="DM97" s="16"/>
      <c r="DN97" s="16"/>
      <c r="DO97" s="16"/>
      <c r="DP97" s="16"/>
      <c r="DQ97" s="16"/>
      <c r="DR97" s="16"/>
      <c r="DS97" s="16"/>
      <c r="DT97" s="16"/>
      <c r="DU97" s="16"/>
      <c r="DV97" s="16"/>
      <c r="DW97" s="16"/>
      <c r="DX97" s="16"/>
      <c r="DY97" s="16"/>
    </row>
    <row r="98" spans="1:129" s="8" customFormat="1" ht="27" customHeight="1" x14ac:dyDescent="0.2">
      <c r="A98" s="19"/>
      <c r="B98" s="724"/>
      <c r="C98" s="1100" t="s">
        <v>69</v>
      </c>
      <c r="D98" s="18" t="s">
        <v>148</v>
      </c>
      <c r="E98" s="496"/>
      <c r="F98" s="449">
        <f>0.259/1000</f>
        <v>2.5900000000000001E-4</v>
      </c>
      <c r="G98" s="497"/>
      <c r="H98" s="498"/>
      <c r="I98" s="498"/>
      <c r="J98" s="498"/>
      <c r="K98" s="499"/>
      <c r="L98" s="500"/>
      <c r="M98" s="501"/>
      <c r="N98" s="212"/>
      <c r="O98"/>
      <c r="P98" s="502"/>
      <c r="Q98" s="449">
        <f>0.259/1000</f>
        <v>2.5900000000000001E-4</v>
      </c>
      <c r="R98" s="503"/>
      <c r="S98" s="504"/>
      <c r="T98" s="504"/>
      <c r="U98" s="504"/>
      <c r="V98" s="505"/>
      <c r="W98" s="506"/>
      <c r="X98" s="507"/>
      <c r="Y98" s="508"/>
      <c r="Z98" s="19"/>
      <c r="AA98" s="19"/>
      <c r="AB98" s="449">
        <f>0.259/1000</f>
        <v>2.5900000000000001E-4</v>
      </c>
      <c r="AC98" s="604">
        <f>'Données de consommation'!K99*'Emissions 2010_2014_2017'!AB98</f>
        <v>44.936500000000002</v>
      </c>
      <c r="AD98" s="611"/>
      <c r="AE98" s="611"/>
      <c r="AF98" s="611"/>
      <c r="AG98" s="612"/>
      <c r="AH98" s="561">
        <f t="shared" ref="AH98:AH111" si="17">SUM(AC98:AG98)</f>
        <v>44.936500000000002</v>
      </c>
      <c r="AI98" s="613">
        <v>0.2</v>
      </c>
      <c r="AJ98" s="636">
        <f>'Emissions 2010_2014_2017'!$AH98*'Emissions 2010_2014_2017'!$AI98</f>
        <v>8.9873000000000012</v>
      </c>
      <c r="AK98" s="679"/>
      <c r="AL98" s="841"/>
      <c r="AM98" s="19"/>
      <c r="AN98" s="16"/>
      <c r="AO98" s="16"/>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c r="CA98" s="16"/>
      <c r="CB98" s="16"/>
      <c r="CC98" s="16"/>
      <c r="CD98" s="16"/>
      <c r="CE98" s="16"/>
      <c r="CF98" s="16"/>
      <c r="CG98" s="16"/>
      <c r="CH98" s="16"/>
      <c r="CI98" s="16"/>
      <c r="CJ98" s="16"/>
      <c r="CK98" s="16"/>
      <c r="CL98" s="16"/>
      <c r="CM98" s="16"/>
      <c r="CN98" s="16"/>
      <c r="CO98" s="16"/>
      <c r="CP98" s="16"/>
      <c r="CQ98" s="16"/>
      <c r="CR98" s="16"/>
      <c r="CS98" s="16"/>
      <c r="CT98" s="16"/>
      <c r="CU98" s="16"/>
      <c r="CV98" s="16"/>
      <c r="CW98" s="16"/>
      <c r="CX98" s="16"/>
      <c r="CY98" s="16"/>
      <c r="CZ98" s="16"/>
      <c r="DA98" s="16"/>
      <c r="DB98" s="16"/>
      <c r="DC98" s="16"/>
      <c r="DD98" s="16"/>
      <c r="DE98" s="16"/>
      <c r="DF98" s="16"/>
      <c r="DG98" s="16"/>
      <c r="DH98" s="16"/>
      <c r="DI98" s="16"/>
      <c r="DJ98" s="16"/>
      <c r="DK98" s="16"/>
      <c r="DL98" s="16"/>
      <c r="DM98" s="16"/>
      <c r="DN98" s="16"/>
      <c r="DO98" s="16"/>
      <c r="DP98" s="16"/>
      <c r="DQ98" s="16"/>
      <c r="DR98" s="16"/>
      <c r="DS98" s="16"/>
      <c r="DT98" s="16"/>
      <c r="DU98" s="16"/>
      <c r="DV98" s="16"/>
      <c r="DW98" s="16"/>
      <c r="DX98" s="16"/>
      <c r="DY98" s="16"/>
    </row>
    <row r="99" spans="1:129" s="8" customFormat="1" ht="29.25" customHeight="1" x14ac:dyDescent="0.2">
      <c r="A99" s="19"/>
      <c r="B99" s="724"/>
      <c r="C99" s="1032"/>
      <c r="D99" s="18" t="s">
        <v>149</v>
      </c>
      <c r="E99" s="496"/>
      <c r="F99" s="449">
        <f>0.00369/1000</f>
        <v>3.6900000000000002E-6</v>
      </c>
      <c r="G99" s="497"/>
      <c r="H99" s="498"/>
      <c r="I99" s="498"/>
      <c r="J99" s="498"/>
      <c r="K99" s="499"/>
      <c r="L99" s="500"/>
      <c r="M99" s="501"/>
      <c r="N99" s="212"/>
      <c r="O99"/>
      <c r="P99" s="502"/>
      <c r="Q99" s="449">
        <f>0.00369/1000</f>
        <v>3.6900000000000002E-6</v>
      </c>
      <c r="R99" s="503"/>
      <c r="S99" s="504"/>
      <c r="T99" s="504"/>
      <c r="U99" s="504"/>
      <c r="V99" s="505"/>
      <c r="W99" s="506"/>
      <c r="X99" s="507"/>
      <c r="Y99" s="508"/>
      <c r="Z99" s="19"/>
      <c r="AA99" s="19"/>
      <c r="AB99" s="449">
        <f>0.00369/1000</f>
        <v>3.6900000000000002E-6</v>
      </c>
      <c r="AC99" s="604">
        <f>'Données de consommation'!K100*'Emissions 2010_2014_2017'!AB99</f>
        <v>0.64021500000000009</v>
      </c>
      <c r="AD99" s="611"/>
      <c r="AE99" s="611"/>
      <c r="AF99" s="611"/>
      <c r="AG99" s="612"/>
      <c r="AH99" s="561">
        <f t="shared" si="17"/>
        <v>0.64021500000000009</v>
      </c>
      <c r="AI99" s="613">
        <v>0.6</v>
      </c>
      <c r="AJ99" s="636">
        <f>'Emissions 2010_2014_2017'!$AH99*'Emissions 2010_2014_2017'!$AI99</f>
        <v>0.38412900000000005</v>
      </c>
      <c r="AK99" s="679"/>
      <c r="AL99" s="841"/>
      <c r="AM99" s="19"/>
      <c r="AN99" s="16"/>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c r="CA99" s="16"/>
      <c r="CB99" s="16"/>
      <c r="CC99" s="16"/>
      <c r="CD99" s="16"/>
      <c r="CE99" s="16"/>
      <c r="CF99" s="16"/>
      <c r="CG99" s="16"/>
      <c r="CH99" s="16"/>
      <c r="CI99" s="16"/>
      <c r="CJ99" s="16"/>
      <c r="CK99" s="16"/>
      <c r="CL99" s="16"/>
      <c r="CM99" s="16"/>
      <c r="CN99" s="16"/>
      <c r="CO99" s="16"/>
      <c r="CP99" s="16"/>
      <c r="CQ99" s="16"/>
      <c r="CR99" s="16"/>
      <c r="CS99" s="16"/>
      <c r="CT99" s="16"/>
      <c r="CU99" s="16"/>
      <c r="CV99" s="16"/>
      <c r="CW99" s="16"/>
      <c r="CX99" s="16"/>
      <c r="CY99" s="16"/>
      <c r="CZ99" s="16"/>
      <c r="DA99" s="16"/>
      <c r="DB99" s="16"/>
      <c r="DC99" s="16"/>
      <c r="DD99" s="16"/>
      <c r="DE99" s="16"/>
      <c r="DF99" s="16"/>
      <c r="DG99" s="16"/>
      <c r="DH99" s="16"/>
      <c r="DI99" s="16"/>
      <c r="DJ99" s="16"/>
      <c r="DK99" s="16"/>
      <c r="DL99" s="16"/>
      <c r="DM99" s="16"/>
      <c r="DN99" s="16"/>
      <c r="DO99" s="16"/>
      <c r="DP99" s="16"/>
      <c r="DQ99" s="16"/>
      <c r="DR99" s="16"/>
      <c r="DS99" s="16"/>
      <c r="DT99" s="16"/>
      <c r="DU99" s="16"/>
      <c r="DV99" s="16"/>
      <c r="DW99" s="16"/>
      <c r="DX99" s="16"/>
      <c r="DY99" s="16"/>
    </row>
    <row r="100" spans="1:129" s="8" customFormat="1" ht="29.25" customHeight="1" x14ac:dyDescent="0.2">
      <c r="A100" s="19"/>
      <c r="B100" s="724"/>
      <c r="C100" s="1032"/>
      <c r="D100" s="18" t="s">
        <v>150</v>
      </c>
      <c r="E100" s="496"/>
      <c r="F100" s="449">
        <f>0.293/1000</f>
        <v>2.9299999999999997E-4</v>
      </c>
      <c r="G100" s="497"/>
      <c r="H100" s="498"/>
      <c r="I100" s="498"/>
      <c r="J100" s="498"/>
      <c r="K100" s="499"/>
      <c r="L100" s="500"/>
      <c r="M100" s="501"/>
      <c r="N100" s="212"/>
      <c r="O100"/>
      <c r="P100" s="502"/>
      <c r="Q100" s="449">
        <f>0.293/1000</f>
        <v>2.9299999999999997E-4</v>
      </c>
      <c r="R100" s="503"/>
      <c r="S100" s="504"/>
      <c r="T100" s="504"/>
      <c r="U100" s="504"/>
      <c r="V100" s="505"/>
      <c r="W100" s="506"/>
      <c r="X100" s="507"/>
      <c r="Y100" s="508"/>
      <c r="Z100" s="19"/>
      <c r="AA100" s="19"/>
      <c r="AB100" s="449">
        <f>0.293/1000</f>
        <v>2.9299999999999997E-4</v>
      </c>
      <c r="AC100" s="604">
        <f>'Données de consommation'!K101*'Emissions 2010_2014_2017'!AB100</f>
        <v>13.024178159999996</v>
      </c>
      <c r="AD100" s="611"/>
      <c r="AE100" s="611"/>
      <c r="AF100" s="611"/>
      <c r="AG100" s="612"/>
      <c r="AH100" s="561">
        <f t="shared" si="17"/>
        <v>13.024178159999996</v>
      </c>
      <c r="AI100" s="613">
        <v>0.5</v>
      </c>
      <c r="AJ100" s="636">
        <f>'Emissions 2010_2014_2017'!$AH100*'Emissions 2010_2014_2017'!$AI100</f>
        <v>6.5120890799999982</v>
      </c>
      <c r="AK100" s="679"/>
      <c r="AL100" s="841"/>
      <c r="AM100" s="19"/>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c r="CA100" s="16"/>
      <c r="CB100" s="16"/>
      <c r="CC100" s="16"/>
      <c r="CD100" s="16"/>
      <c r="CE100" s="16"/>
      <c r="CF100" s="16"/>
      <c r="CG100" s="16"/>
      <c r="CH100" s="16"/>
      <c r="CI100" s="16"/>
      <c r="CJ100" s="16"/>
      <c r="CK100" s="16"/>
      <c r="CL100" s="16"/>
      <c r="CM100" s="16"/>
      <c r="CN100" s="16"/>
      <c r="CO100" s="16"/>
      <c r="CP100" s="16"/>
      <c r="CQ100" s="16"/>
      <c r="CR100" s="16"/>
      <c r="CS100" s="16"/>
      <c r="CT100" s="16"/>
      <c r="CU100" s="16"/>
      <c r="CV100" s="16"/>
      <c r="CW100" s="16"/>
      <c r="CX100" s="16"/>
      <c r="CY100" s="16"/>
      <c r="CZ100" s="16"/>
      <c r="DA100" s="16"/>
      <c r="DB100" s="16"/>
      <c r="DC100" s="16"/>
      <c r="DD100" s="16"/>
      <c r="DE100" s="16"/>
      <c r="DF100" s="16"/>
      <c r="DG100" s="16"/>
      <c r="DH100" s="16"/>
      <c r="DI100" s="16"/>
      <c r="DJ100" s="16"/>
      <c r="DK100" s="16"/>
      <c r="DL100" s="16"/>
      <c r="DM100" s="16"/>
      <c r="DN100" s="16"/>
      <c r="DO100" s="16"/>
      <c r="DP100" s="16"/>
      <c r="DQ100" s="16"/>
      <c r="DR100" s="16"/>
      <c r="DS100" s="16"/>
      <c r="DT100" s="16"/>
      <c r="DU100" s="16"/>
      <c r="DV100" s="16"/>
      <c r="DW100" s="16"/>
      <c r="DX100" s="16"/>
      <c r="DY100" s="16"/>
    </row>
    <row r="101" spans="1:129" s="8" customFormat="1" ht="39.75" customHeight="1" x14ac:dyDescent="0.2">
      <c r="A101" s="19"/>
      <c r="B101" s="724"/>
      <c r="C101" s="1032"/>
      <c r="D101" s="18" t="s">
        <v>152</v>
      </c>
      <c r="E101" s="496"/>
      <c r="F101" s="449">
        <f>0.216/1000</f>
        <v>2.1599999999999999E-4</v>
      </c>
      <c r="G101" s="497"/>
      <c r="H101" s="498"/>
      <c r="I101" s="498"/>
      <c r="J101" s="498"/>
      <c r="K101" s="499"/>
      <c r="L101" s="500"/>
      <c r="M101" s="501"/>
      <c r="N101" s="212"/>
      <c r="O101"/>
      <c r="P101" s="502"/>
      <c r="Q101" s="449">
        <f>0.216/1000</f>
        <v>2.1599999999999999E-4</v>
      </c>
      <c r="R101" s="503"/>
      <c r="S101" s="504"/>
      <c r="T101" s="504"/>
      <c r="U101" s="504"/>
      <c r="V101" s="505"/>
      <c r="W101" s="506"/>
      <c r="X101" s="507"/>
      <c r="Y101" s="508"/>
      <c r="Z101" s="19"/>
      <c r="AA101" s="19"/>
      <c r="AB101" s="449">
        <f>0.216/1000</f>
        <v>2.1599999999999999E-4</v>
      </c>
      <c r="AC101" s="637">
        <f>'Données de consommation'!K102*'Emissions 2010_2014_2017'!AB101</f>
        <v>18.709703999999999</v>
      </c>
      <c r="AD101" s="611"/>
      <c r="AE101" s="611"/>
      <c r="AF101" s="611"/>
      <c r="AG101" s="612"/>
      <c r="AH101" s="561">
        <f t="shared" si="17"/>
        <v>18.709703999999999</v>
      </c>
      <c r="AI101" s="613">
        <v>0.5</v>
      </c>
      <c r="AJ101" s="636">
        <f>'Emissions 2010_2014_2017'!$AH101*'Emissions 2010_2014_2017'!$AI101</f>
        <v>9.3548519999999993</v>
      </c>
      <c r="AK101" s="679"/>
      <c r="AL101" s="841"/>
      <c r="AM101" s="19"/>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c r="CA101" s="16"/>
      <c r="CB101" s="16"/>
      <c r="CC101" s="16"/>
      <c r="CD101" s="16"/>
      <c r="CE101" s="16"/>
      <c r="CF101" s="16"/>
      <c r="CG101" s="16"/>
      <c r="CH101" s="16"/>
      <c r="CI101" s="16"/>
      <c r="CJ101" s="16"/>
      <c r="CK101" s="16"/>
      <c r="CL101" s="16"/>
      <c r="CM101" s="16"/>
      <c r="CN101" s="16"/>
      <c r="CO101" s="16"/>
      <c r="CP101" s="16"/>
      <c r="CQ101" s="16"/>
      <c r="CR101" s="16"/>
      <c r="CS101" s="16"/>
      <c r="CT101" s="16"/>
      <c r="CU101" s="16"/>
      <c r="CV101" s="16"/>
      <c r="CW101" s="16"/>
      <c r="CX101" s="16"/>
      <c r="CY101" s="16"/>
      <c r="CZ101" s="16"/>
      <c r="DA101" s="16"/>
      <c r="DB101" s="16"/>
      <c r="DC101" s="16"/>
      <c r="DD101" s="16"/>
      <c r="DE101" s="16"/>
      <c r="DF101" s="16"/>
      <c r="DG101" s="16"/>
      <c r="DH101" s="16"/>
      <c r="DI101" s="16"/>
      <c r="DJ101" s="16"/>
      <c r="DK101" s="16"/>
      <c r="DL101" s="16"/>
      <c r="DM101" s="16"/>
      <c r="DN101" s="16"/>
      <c r="DO101" s="16"/>
      <c r="DP101" s="16"/>
      <c r="DQ101" s="16"/>
      <c r="DR101" s="16"/>
      <c r="DS101" s="16"/>
      <c r="DT101" s="16"/>
      <c r="DU101" s="16"/>
      <c r="DV101" s="16"/>
      <c r="DW101" s="16"/>
      <c r="DX101" s="16"/>
      <c r="DY101" s="16"/>
    </row>
    <row r="102" spans="1:129" s="8" customFormat="1" ht="39" customHeight="1" x14ac:dyDescent="0.2">
      <c r="A102" s="19"/>
      <c r="B102" s="724"/>
      <c r="C102" s="1032"/>
      <c r="D102" s="18" t="s">
        <v>151</v>
      </c>
      <c r="E102" s="496"/>
      <c r="F102" s="449">
        <f>0.209/1000</f>
        <v>2.0899999999999998E-4</v>
      </c>
      <c r="G102" s="497"/>
      <c r="H102" s="498"/>
      <c r="I102" s="498"/>
      <c r="J102" s="498"/>
      <c r="K102" s="499"/>
      <c r="L102" s="500"/>
      <c r="M102" s="501"/>
      <c r="N102" s="212"/>
      <c r="O102"/>
      <c r="P102" s="502"/>
      <c r="Q102" s="449">
        <f>0.209/1000</f>
        <v>2.0899999999999998E-4</v>
      </c>
      <c r="R102" s="503"/>
      <c r="S102" s="504"/>
      <c r="T102" s="504"/>
      <c r="U102" s="504"/>
      <c r="V102" s="505"/>
      <c r="W102" s="506"/>
      <c r="X102" s="507"/>
      <c r="Y102" s="508"/>
      <c r="Z102" s="19"/>
      <c r="AA102" s="19"/>
      <c r="AB102" s="449">
        <f>0.209/1000</f>
        <v>2.0899999999999998E-4</v>
      </c>
      <c r="AC102" s="604">
        <f>'Données de consommation'!K103*'Emissions 2010_2014_2017'!AB102</f>
        <v>2.2636789999999998</v>
      </c>
      <c r="AD102" s="611"/>
      <c r="AE102" s="611"/>
      <c r="AF102" s="611"/>
      <c r="AG102" s="612"/>
      <c r="AH102" s="281">
        <f t="shared" si="17"/>
        <v>2.2636789999999998</v>
      </c>
      <c r="AI102" s="613">
        <v>0.5</v>
      </c>
      <c r="AJ102" s="636">
        <f>'Emissions 2010_2014_2017'!$AH102*'Emissions 2010_2014_2017'!$AI102</f>
        <v>1.1318394999999999</v>
      </c>
      <c r="AK102" s="679"/>
      <c r="AL102" s="841"/>
      <c r="AM102" s="19"/>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c r="CA102" s="16"/>
      <c r="CB102" s="16"/>
      <c r="CC102" s="16"/>
      <c r="CD102" s="16"/>
      <c r="CE102" s="16"/>
      <c r="CF102" s="16"/>
      <c r="CG102" s="16"/>
      <c r="CH102" s="16"/>
      <c r="CI102" s="16"/>
      <c r="CJ102" s="16"/>
      <c r="CK102" s="16"/>
      <c r="CL102" s="16"/>
      <c r="CM102" s="16"/>
      <c r="CN102" s="16"/>
      <c r="CO102" s="16"/>
      <c r="CP102" s="16"/>
      <c r="CQ102" s="16"/>
      <c r="CR102" s="16"/>
      <c r="CS102" s="16"/>
      <c r="CT102" s="16"/>
      <c r="CU102" s="16"/>
      <c r="CV102" s="16"/>
      <c r="CW102" s="16"/>
      <c r="CX102" s="16"/>
      <c r="CY102" s="16"/>
      <c r="CZ102" s="16"/>
      <c r="DA102" s="16"/>
      <c r="DB102" s="16"/>
      <c r="DC102" s="16"/>
      <c r="DD102" s="16"/>
      <c r="DE102" s="16"/>
      <c r="DF102" s="16"/>
      <c r="DG102" s="16"/>
      <c r="DH102" s="16"/>
      <c r="DI102" s="16"/>
      <c r="DJ102" s="16"/>
      <c r="DK102" s="16"/>
      <c r="DL102" s="16"/>
      <c r="DM102" s="16"/>
      <c r="DN102" s="16"/>
      <c r="DO102" s="16"/>
      <c r="DP102" s="16"/>
      <c r="DQ102" s="16"/>
      <c r="DR102" s="16"/>
      <c r="DS102" s="16"/>
      <c r="DT102" s="16"/>
      <c r="DU102" s="16"/>
      <c r="DV102" s="16"/>
      <c r="DW102" s="16"/>
      <c r="DX102" s="16"/>
      <c r="DY102" s="16"/>
    </row>
    <row r="103" spans="1:129" s="8" customFormat="1" ht="39" customHeight="1" x14ac:dyDescent="0.2">
      <c r="A103" s="19"/>
      <c r="B103" s="724"/>
      <c r="C103" s="1032"/>
      <c r="D103" s="18" t="s">
        <v>153</v>
      </c>
      <c r="E103" s="496"/>
      <c r="F103" s="449">
        <f>0.251/1000</f>
        <v>2.5099999999999998E-4</v>
      </c>
      <c r="G103" s="497"/>
      <c r="H103" s="498"/>
      <c r="I103" s="498"/>
      <c r="J103" s="498"/>
      <c r="K103" s="499"/>
      <c r="L103" s="500"/>
      <c r="M103" s="501"/>
      <c r="N103" s="212"/>
      <c r="O103"/>
      <c r="P103" s="502"/>
      <c r="Q103" s="449">
        <f>0.251/1000</f>
        <v>2.5099999999999998E-4</v>
      </c>
      <c r="R103" s="503"/>
      <c r="S103" s="504"/>
      <c r="T103" s="504"/>
      <c r="U103" s="504"/>
      <c r="V103" s="505"/>
      <c r="W103" s="506"/>
      <c r="X103" s="507"/>
      <c r="Y103" s="508"/>
      <c r="Z103" s="19"/>
      <c r="AA103" s="19"/>
      <c r="AB103" s="449">
        <f>0.251/1000</f>
        <v>2.5099999999999998E-4</v>
      </c>
      <c r="AC103" s="604">
        <f>'Données de consommation'!K104*'Emissions 2010_2014_2017'!AB103</f>
        <v>1.6207069999999999</v>
      </c>
      <c r="AD103" s="611"/>
      <c r="AE103" s="611"/>
      <c r="AF103" s="611"/>
      <c r="AG103" s="612"/>
      <c r="AH103" s="281">
        <f t="shared" si="17"/>
        <v>1.6207069999999999</v>
      </c>
      <c r="AI103" s="613">
        <v>0.5</v>
      </c>
      <c r="AJ103" s="636">
        <f>'Emissions 2010_2014_2017'!$AH103*'Emissions 2010_2014_2017'!$AI103</f>
        <v>0.81035349999999995</v>
      </c>
      <c r="AK103" s="679"/>
      <c r="AL103" s="841"/>
      <c r="AM103" s="19"/>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BZ103" s="16"/>
      <c r="CA103" s="16"/>
      <c r="CB103" s="16"/>
      <c r="CC103" s="16"/>
      <c r="CD103" s="16"/>
      <c r="CE103" s="16"/>
      <c r="CF103" s="16"/>
      <c r="CG103" s="16"/>
      <c r="CH103" s="16"/>
      <c r="CI103" s="16"/>
      <c r="CJ103" s="16"/>
      <c r="CK103" s="16"/>
      <c r="CL103" s="16"/>
      <c r="CM103" s="16"/>
      <c r="CN103" s="16"/>
      <c r="CO103" s="16"/>
      <c r="CP103" s="16"/>
      <c r="CQ103" s="16"/>
      <c r="CR103" s="16"/>
      <c r="CS103" s="16"/>
      <c r="CT103" s="16"/>
      <c r="CU103" s="16"/>
      <c r="CV103" s="16"/>
      <c r="CW103" s="16"/>
      <c r="CX103" s="16"/>
      <c r="CY103" s="16"/>
      <c r="CZ103" s="16"/>
      <c r="DA103" s="16"/>
      <c r="DB103" s="16"/>
      <c r="DC103" s="16"/>
      <c r="DD103" s="16"/>
      <c r="DE103" s="16"/>
      <c r="DF103" s="16"/>
      <c r="DG103" s="16"/>
      <c r="DH103" s="16"/>
      <c r="DI103" s="16"/>
      <c r="DJ103" s="16"/>
      <c r="DK103" s="16"/>
      <c r="DL103" s="16"/>
      <c r="DM103" s="16"/>
      <c r="DN103" s="16"/>
      <c r="DO103" s="16"/>
      <c r="DP103" s="16"/>
      <c r="DQ103" s="16"/>
      <c r="DR103" s="16"/>
      <c r="DS103" s="16"/>
      <c r="DT103" s="16"/>
      <c r="DU103" s="16"/>
      <c r="DV103" s="16"/>
      <c r="DW103" s="16"/>
      <c r="DX103" s="16"/>
      <c r="DY103" s="16"/>
    </row>
    <row r="104" spans="1:129" s="8" customFormat="1" ht="39" customHeight="1" x14ac:dyDescent="0.2">
      <c r="A104" s="19"/>
      <c r="B104" s="724"/>
      <c r="C104" s="1032"/>
      <c r="D104" s="18" t="s">
        <v>154</v>
      </c>
      <c r="E104" s="496"/>
      <c r="F104" s="449">
        <f>0.258/1000</f>
        <v>2.5799999999999998E-4</v>
      </c>
      <c r="G104" s="497"/>
      <c r="H104" s="498"/>
      <c r="I104" s="498"/>
      <c r="J104" s="498"/>
      <c r="K104" s="499"/>
      <c r="L104" s="500"/>
      <c r="M104" s="501"/>
      <c r="N104" s="212"/>
      <c r="O104"/>
      <c r="P104" s="502"/>
      <c r="Q104" s="449">
        <f>0.258/1000</f>
        <v>2.5799999999999998E-4</v>
      </c>
      <c r="R104" s="503"/>
      <c r="S104" s="504"/>
      <c r="T104" s="504"/>
      <c r="U104" s="504"/>
      <c r="V104" s="505"/>
      <c r="W104" s="506"/>
      <c r="X104" s="507"/>
      <c r="Y104" s="508"/>
      <c r="Z104" s="19"/>
      <c r="AA104" s="19"/>
      <c r="AB104" s="449">
        <f>0.258/1000</f>
        <v>2.5799999999999998E-4</v>
      </c>
      <c r="AC104" s="604">
        <f>'Données de consommation'!K105*'Emissions 2010_2014_2017'!AB104</f>
        <v>2.239182</v>
      </c>
      <c r="AD104" s="611"/>
      <c r="AE104" s="611"/>
      <c r="AF104" s="611"/>
      <c r="AG104" s="612"/>
      <c r="AH104" s="281">
        <f t="shared" si="17"/>
        <v>2.239182</v>
      </c>
      <c r="AI104" s="613">
        <v>0.5</v>
      </c>
      <c r="AJ104" s="636">
        <f>'Emissions 2010_2014_2017'!$AH104*'Emissions 2010_2014_2017'!$AI104</f>
        <v>1.119591</v>
      </c>
      <c r="AK104" s="679"/>
      <c r="AL104" s="841"/>
      <c r="AM104" s="19"/>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c r="CA104" s="16"/>
      <c r="CB104" s="16"/>
      <c r="CC104" s="16"/>
      <c r="CD104" s="16"/>
      <c r="CE104" s="16"/>
      <c r="CF104" s="16"/>
      <c r="CG104" s="16"/>
      <c r="CH104" s="16"/>
      <c r="CI104" s="16"/>
      <c r="CJ104" s="16"/>
      <c r="CK104" s="16"/>
      <c r="CL104" s="16"/>
      <c r="CM104" s="16"/>
      <c r="CN104" s="16"/>
      <c r="CO104" s="16"/>
      <c r="CP104" s="16"/>
      <c r="CQ104" s="16"/>
      <c r="CR104" s="16"/>
      <c r="CS104" s="16"/>
      <c r="CT104" s="16"/>
      <c r="CU104" s="16"/>
      <c r="CV104" s="16"/>
      <c r="CW104" s="16"/>
      <c r="CX104" s="16"/>
      <c r="CY104" s="16"/>
      <c r="CZ104" s="16"/>
      <c r="DA104" s="16"/>
      <c r="DB104" s="16"/>
      <c r="DC104" s="16"/>
      <c r="DD104" s="16"/>
      <c r="DE104" s="16"/>
      <c r="DF104" s="16"/>
      <c r="DG104" s="16"/>
      <c r="DH104" s="16"/>
      <c r="DI104" s="16"/>
      <c r="DJ104" s="16"/>
      <c r="DK104" s="16"/>
      <c r="DL104" s="16"/>
      <c r="DM104" s="16"/>
      <c r="DN104" s="16"/>
      <c r="DO104" s="16"/>
      <c r="DP104" s="16"/>
      <c r="DQ104" s="16"/>
      <c r="DR104" s="16"/>
      <c r="DS104" s="16"/>
      <c r="DT104" s="16"/>
      <c r="DU104" s="16"/>
      <c r="DV104" s="16"/>
      <c r="DW104" s="16"/>
      <c r="DX104" s="16"/>
      <c r="DY104" s="16"/>
    </row>
    <row r="105" spans="1:129" s="8" customFormat="1" ht="39" customHeight="1" x14ac:dyDescent="0.2">
      <c r="A105" s="19"/>
      <c r="B105" s="724"/>
      <c r="C105" s="1032"/>
      <c r="D105" s="18" t="s">
        <v>155</v>
      </c>
      <c r="E105" s="496"/>
      <c r="F105" s="449">
        <f>0.223/1000</f>
        <v>2.23E-4</v>
      </c>
      <c r="G105" s="497"/>
      <c r="H105" s="498"/>
      <c r="I105" s="498"/>
      <c r="J105" s="498"/>
      <c r="K105" s="499"/>
      <c r="L105" s="500"/>
      <c r="M105" s="501"/>
      <c r="N105" s="212"/>
      <c r="O105"/>
      <c r="P105" s="502"/>
      <c r="Q105" s="449">
        <f>0.223/1000</f>
        <v>2.23E-4</v>
      </c>
      <c r="R105" s="503"/>
      <c r="S105" s="504"/>
      <c r="T105" s="504"/>
      <c r="U105" s="504"/>
      <c r="V105" s="505"/>
      <c r="W105" s="506"/>
      <c r="X105" s="507"/>
      <c r="Y105" s="508"/>
      <c r="Z105" s="19"/>
      <c r="AA105" s="19"/>
      <c r="AB105" s="449">
        <f>0.223/1000</f>
        <v>2.23E-4</v>
      </c>
      <c r="AC105" s="604">
        <f>'Données de consommation'!K106*'Emissions 2010_2014_2017'!AB105</f>
        <v>0</v>
      </c>
      <c r="AD105" s="611"/>
      <c r="AE105" s="611"/>
      <c r="AF105" s="611"/>
      <c r="AG105" s="612"/>
      <c r="AH105" s="281">
        <f t="shared" si="17"/>
        <v>0</v>
      </c>
      <c r="AI105" s="613">
        <v>0.5</v>
      </c>
      <c r="AJ105" s="636">
        <f>'Emissions 2010_2014_2017'!$AH105*'Emissions 2010_2014_2017'!$AI105</f>
        <v>0</v>
      </c>
      <c r="AK105" s="679"/>
      <c r="AL105" s="841"/>
      <c r="AM105" s="19"/>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c r="BT105" s="16"/>
      <c r="BU105" s="16"/>
      <c r="BV105" s="16"/>
      <c r="BW105" s="16"/>
      <c r="BX105" s="16"/>
      <c r="BY105" s="16"/>
      <c r="BZ105" s="16"/>
      <c r="CA105" s="16"/>
      <c r="CB105" s="16"/>
      <c r="CC105" s="16"/>
      <c r="CD105" s="16"/>
      <c r="CE105" s="16"/>
      <c r="CF105" s="16"/>
      <c r="CG105" s="16"/>
      <c r="CH105" s="16"/>
      <c r="CI105" s="16"/>
      <c r="CJ105" s="16"/>
      <c r="CK105" s="16"/>
      <c r="CL105" s="16"/>
      <c r="CM105" s="16"/>
      <c r="CN105" s="16"/>
      <c r="CO105" s="16"/>
      <c r="CP105" s="16"/>
      <c r="CQ105" s="16"/>
      <c r="CR105" s="16"/>
      <c r="CS105" s="16"/>
      <c r="CT105" s="16"/>
      <c r="CU105" s="16"/>
      <c r="CV105" s="16"/>
      <c r="CW105" s="16"/>
      <c r="CX105" s="16"/>
      <c r="CY105" s="16"/>
      <c r="CZ105" s="16"/>
      <c r="DA105" s="16"/>
      <c r="DB105" s="16"/>
      <c r="DC105" s="16"/>
      <c r="DD105" s="16"/>
      <c r="DE105" s="16"/>
      <c r="DF105" s="16"/>
      <c r="DG105" s="16"/>
      <c r="DH105" s="16"/>
      <c r="DI105" s="16"/>
      <c r="DJ105" s="16"/>
      <c r="DK105" s="16"/>
      <c r="DL105" s="16"/>
      <c r="DM105" s="16"/>
      <c r="DN105" s="16"/>
      <c r="DO105" s="16"/>
      <c r="DP105" s="16"/>
      <c r="DQ105" s="16"/>
      <c r="DR105" s="16"/>
      <c r="DS105" s="16"/>
      <c r="DT105" s="16"/>
      <c r="DU105" s="16"/>
      <c r="DV105" s="16"/>
      <c r="DW105" s="16"/>
      <c r="DX105" s="16"/>
      <c r="DY105" s="16"/>
    </row>
    <row r="106" spans="1:129" s="8" customFormat="1" ht="39" customHeight="1" x14ac:dyDescent="0.2">
      <c r="A106" s="19"/>
      <c r="B106" s="724"/>
      <c r="C106" s="1032"/>
      <c r="D106" s="18" t="s">
        <v>156</v>
      </c>
      <c r="E106" s="496"/>
      <c r="F106" s="449">
        <f>0.209/1000</f>
        <v>2.0899999999999998E-4</v>
      </c>
      <c r="G106" s="497"/>
      <c r="H106" s="498"/>
      <c r="I106" s="498"/>
      <c r="J106" s="498"/>
      <c r="K106" s="499"/>
      <c r="L106" s="500"/>
      <c r="M106" s="501"/>
      <c r="N106" s="212"/>
      <c r="O106"/>
      <c r="P106" s="502"/>
      <c r="Q106" s="449">
        <f>0.209/1000</f>
        <v>2.0899999999999998E-4</v>
      </c>
      <c r="R106" s="503"/>
      <c r="S106" s="504"/>
      <c r="T106" s="504"/>
      <c r="U106" s="504"/>
      <c r="V106" s="505"/>
      <c r="W106" s="506"/>
      <c r="X106" s="507"/>
      <c r="Y106" s="508"/>
      <c r="Z106" s="19"/>
      <c r="AA106" s="19"/>
      <c r="AB106" s="449">
        <f>0.209/1000</f>
        <v>2.0899999999999998E-4</v>
      </c>
      <c r="AC106" s="637">
        <f>'Données de consommation'!K107*'Emissions 2010_2014_2017'!AB106</f>
        <v>19.667945</v>
      </c>
      <c r="AD106" s="611"/>
      <c r="AE106" s="611"/>
      <c r="AF106" s="611"/>
      <c r="AG106" s="612"/>
      <c r="AH106" s="561">
        <f t="shared" si="17"/>
        <v>19.667945</v>
      </c>
      <c r="AI106" s="613">
        <v>0.5</v>
      </c>
      <c r="AJ106" s="636">
        <f>'Emissions 2010_2014_2017'!$AH106*'Emissions 2010_2014_2017'!$AI106</f>
        <v>9.8339724999999998</v>
      </c>
      <c r="AK106" s="679"/>
      <c r="AL106" s="841"/>
      <c r="AM106" s="19"/>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c r="CA106" s="16"/>
      <c r="CB106" s="16"/>
      <c r="CC106" s="16"/>
      <c r="CD106" s="16"/>
      <c r="CE106" s="16"/>
      <c r="CF106" s="16"/>
      <c r="CG106" s="16"/>
      <c r="CH106" s="16"/>
      <c r="CI106" s="16"/>
      <c r="CJ106" s="16"/>
      <c r="CK106" s="16"/>
      <c r="CL106" s="16"/>
      <c r="CM106" s="16"/>
      <c r="CN106" s="16"/>
      <c r="CO106" s="16"/>
      <c r="CP106" s="16"/>
      <c r="CQ106" s="16"/>
      <c r="CR106" s="16"/>
      <c r="CS106" s="16"/>
      <c r="CT106" s="16"/>
      <c r="CU106" s="16"/>
      <c r="CV106" s="16"/>
      <c r="CW106" s="16"/>
      <c r="CX106" s="16"/>
      <c r="CY106" s="16"/>
      <c r="CZ106" s="16"/>
      <c r="DA106" s="16"/>
      <c r="DB106" s="16"/>
      <c r="DC106" s="16"/>
      <c r="DD106" s="16"/>
      <c r="DE106" s="16"/>
      <c r="DF106" s="16"/>
      <c r="DG106" s="16"/>
      <c r="DH106" s="16"/>
      <c r="DI106" s="16"/>
      <c r="DJ106" s="16"/>
      <c r="DK106" s="16"/>
      <c r="DL106" s="16"/>
      <c r="DM106" s="16"/>
      <c r="DN106" s="16"/>
      <c r="DO106" s="16"/>
      <c r="DP106" s="16"/>
      <c r="DQ106" s="16"/>
      <c r="DR106" s="16"/>
      <c r="DS106" s="16"/>
      <c r="DT106" s="16"/>
      <c r="DU106" s="16"/>
      <c r="DV106" s="16"/>
      <c r="DW106" s="16"/>
      <c r="DX106" s="16"/>
      <c r="DY106" s="16"/>
    </row>
    <row r="107" spans="1:129" s="8" customFormat="1" ht="39" customHeight="1" x14ac:dyDescent="0.2">
      <c r="A107" s="19"/>
      <c r="B107" s="724"/>
      <c r="C107" s="1032"/>
      <c r="D107" s="18" t="s">
        <v>161</v>
      </c>
      <c r="E107" s="496"/>
      <c r="F107" s="449">
        <f>0.209/1000</f>
        <v>2.0899999999999998E-4</v>
      </c>
      <c r="G107" s="497"/>
      <c r="H107" s="498"/>
      <c r="I107" s="498"/>
      <c r="J107" s="498"/>
      <c r="K107" s="499"/>
      <c r="L107" s="500"/>
      <c r="M107" s="501"/>
      <c r="N107" s="212"/>
      <c r="O107"/>
      <c r="P107" s="502"/>
      <c r="Q107" s="449">
        <f>0.209/1000</f>
        <v>2.0899999999999998E-4</v>
      </c>
      <c r="R107" s="503"/>
      <c r="S107" s="504"/>
      <c r="T107" s="504"/>
      <c r="U107" s="504"/>
      <c r="V107" s="505"/>
      <c r="W107" s="506"/>
      <c r="X107" s="507"/>
      <c r="Y107" s="508"/>
      <c r="Z107" s="19"/>
      <c r="AA107" s="19"/>
      <c r="AB107" s="449">
        <f>0.209/1000</f>
        <v>2.0899999999999998E-4</v>
      </c>
      <c r="AC107" s="604">
        <f>'Données de consommation'!K108*'Emissions 2010_2014_2017'!AB107</f>
        <v>2.9909028599999998</v>
      </c>
      <c r="AD107" s="611"/>
      <c r="AE107" s="611"/>
      <c r="AF107" s="611"/>
      <c r="AG107" s="612"/>
      <c r="AH107" s="281">
        <f t="shared" si="17"/>
        <v>2.9909028599999998</v>
      </c>
      <c r="AI107" s="613">
        <v>0.5</v>
      </c>
      <c r="AJ107" s="636">
        <f>'Emissions 2010_2014_2017'!$AH107*'Emissions 2010_2014_2017'!$AI107</f>
        <v>1.4954514299999999</v>
      </c>
      <c r="AK107" s="679"/>
      <c r="AL107" s="841"/>
      <c r="AM107" s="19"/>
      <c r="AN107" s="16"/>
      <c r="AO107" s="16"/>
      <c r="AP107" s="16"/>
      <c r="AQ107" s="16"/>
      <c r="AR107" s="16"/>
      <c r="AS107" s="16"/>
      <c r="AT107" s="16"/>
      <c r="AU107" s="16"/>
      <c r="AV107" s="16"/>
      <c r="AW107" s="16"/>
      <c r="AX107" s="16"/>
      <c r="AY107" s="16"/>
      <c r="AZ107" s="16"/>
      <c r="BA107" s="16"/>
      <c r="BB107" s="16"/>
      <c r="BC107" s="16"/>
      <c r="BD107" s="16"/>
      <c r="BE107" s="16"/>
      <c r="BF107" s="16"/>
      <c r="BG107" s="16"/>
      <c r="BH107" s="16"/>
      <c r="BI107" s="16"/>
      <c r="BJ107" s="16"/>
      <c r="BK107" s="16"/>
      <c r="BL107" s="16"/>
      <c r="BM107" s="16"/>
      <c r="BN107" s="16"/>
      <c r="BO107" s="16"/>
      <c r="BP107" s="16"/>
      <c r="BQ107" s="16"/>
      <c r="BR107" s="16"/>
      <c r="BS107" s="16"/>
      <c r="BT107" s="16"/>
      <c r="BU107" s="16"/>
      <c r="BV107" s="16"/>
      <c r="BW107" s="16"/>
      <c r="BX107" s="16"/>
      <c r="BY107" s="16"/>
      <c r="BZ107" s="16"/>
      <c r="CA107" s="16"/>
      <c r="CB107" s="16"/>
      <c r="CC107" s="16"/>
      <c r="CD107" s="16"/>
      <c r="CE107" s="16"/>
      <c r="CF107" s="16"/>
      <c r="CG107" s="16"/>
      <c r="CH107" s="16"/>
      <c r="CI107" s="16"/>
      <c r="CJ107" s="16"/>
      <c r="CK107" s="16"/>
      <c r="CL107" s="16"/>
      <c r="CM107" s="16"/>
      <c r="CN107" s="16"/>
      <c r="CO107" s="16"/>
      <c r="CP107" s="16"/>
      <c r="CQ107" s="16"/>
      <c r="CR107" s="16"/>
      <c r="CS107" s="16"/>
      <c r="CT107" s="16"/>
      <c r="CU107" s="16"/>
      <c r="CV107" s="16"/>
      <c r="CW107" s="16"/>
      <c r="CX107" s="16"/>
      <c r="CY107" s="16"/>
      <c r="CZ107" s="16"/>
      <c r="DA107" s="16"/>
      <c r="DB107" s="16"/>
      <c r="DC107" s="16"/>
      <c r="DD107" s="16"/>
      <c r="DE107" s="16"/>
      <c r="DF107" s="16"/>
      <c r="DG107" s="16"/>
      <c r="DH107" s="16"/>
      <c r="DI107" s="16"/>
      <c r="DJ107" s="16"/>
      <c r="DK107" s="16"/>
      <c r="DL107" s="16"/>
      <c r="DM107" s="16"/>
      <c r="DN107" s="16"/>
      <c r="DO107" s="16"/>
      <c r="DP107" s="16"/>
      <c r="DQ107" s="16"/>
      <c r="DR107" s="16"/>
      <c r="DS107" s="16"/>
      <c r="DT107" s="16"/>
      <c r="DU107" s="16"/>
      <c r="DV107" s="16"/>
      <c r="DW107" s="16"/>
      <c r="DX107" s="16"/>
      <c r="DY107" s="16"/>
    </row>
    <row r="108" spans="1:129" s="8" customFormat="1" ht="39" customHeight="1" x14ac:dyDescent="0.2">
      <c r="A108" s="19"/>
      <c r="B108" s="724"/>
      <c r="C108" s="1032"/>
      <c r="D108" s="18" t="s">
        <v>157</v>
      </c>
      <c r="E108" s="496"/>
      <c r="F108" s="449">
        <f>0.23/1000</f>
        <v>2.3000000000000001E-4</v>
      </c>
      <c r="G108" s="497"/>
      <c r="H108" s="498"/>
      <c r="I108" s="498"/>
      <c r="J108" s="498"/>
      <c r="K108" s="499"/>
      <c r="L108" s="500"/>
      <c r="M108" s="501"/>
      <c r="N108" s="212"/>
      <c r="O108"/>
      <c r="P108" s="502"/>
      <c r="Q108" s="449">
        <f>0.23/1000</f>
        <v>2.3000000000000001E-4</v>
      </c>
      <c r="R108" s="503"/>
      <c r="S108" s="504"/>
      <c r="T108" s="504"/>
      <c r="U108" s="504"/>
      <c r="V108" s="505"/>
      <c r="W108" s="506"/>
      <c r="X108" s="507"/>
      <c r="Y108" s="508"/>
      <c r="Z108" s="19"/>
      <c r="AA108" s="19"/>
      <c r="AB108" s="449">
        <f>0.23/1000</f>
        <v>2.3000000000000001E-4</v>
      </c>
      <c r="AC108" s="604">
        <f>'Données de consommation'!K109*'Emissions 2010_2014_2017'!AB108</f>
        <v>23.172499999999999</v>
      </c>
      <c r="AD108" s="611"/>
      <c r="AE108" s="611"/>
      <c r="AF108" s="611"/>
      <c r="AG108" s="612"/>
      <c r="AH108" s="561">
        <f t="shared" si="17"/>
        <v>23.172499999999999</v>
      </c>
      <c r="AI108" s="613">
        <v>0.5</v>
      </c>
      <c r="AJ108" s="636">
        <f>'Emissions 2010_2014_2017'!$AH108*'Emissions 2010_2014_2017'!$AI108</f>
        <v>11.58625</v>
      </c>
      <c r="AK108" s="679"/>
      <c r="AL108" s="841"/>
      <c r="AM108" s="19"/>
      <c r="AN108" s="16"/>
      <c r="AO108" s="16"/>
      <c r="AP108" s="16"/>
      <c r="AQ108" s="16"/>
      <c r="AR108" s="16"/>
      <c r="AS108" s="16"/>
      <c r="AT108" s="16"/>
      <c r="AU108" s="16"/>
      <c r="AV108" s="16"/>
      <c r="AW108" s="16"/>
      <c r="AX108" s="16"/>
      <c r="AY108" s="16"/>
      <c r="AZ108" s="16"/>
      <c r="BA108" s="16"/>
      <c r="BB108" s="16"/>
      <c r="BC108" s="16"/>
      <c r="BD108" s="16"/>
      <c r="BE108" s="16"/>
      <c r="BF108" s="16"/>
      <c r="BG108" s="16"/>
      <c r="BH108" s="16"/>
      <c r="BI108" s="16"/>
      <c r="BJ108" s="16"/>
      <c r="BK108" s="16"/>
      <c r="BL108" s="16"/>
      <c r="BM108" s="16"/>
      <c r="BN108" s="16"/>
      <c r="BO108" s="16"/>
      <c r="BP108" s="16"/>
      <c r="BQ108" s="16"/>
      <c r="BR108" s="16"/>
      <c r="BS108" s="16"/>
      <c r="BT108" s="16"/>
      <c r="BU108" s="16"/>
      <c r="BV108" s="16"/>
      <c r="BW108" s="16"/>
      <c r="BX108" s="16"/>
      <c r="BY108" s="16"/>
      <c r="BZ108" s="16"/>
      <c r="CA108" s="16"/>
      <c r="CB108" s="16"/>
      <c r="CC108" s="16"/>
      <c r="CD108" s="16"/>
      <c r="CE108" s="16"/>
      <c r="CF108" s="16"/>
      <c r="CG108" s="16"/>
      <c r="CH108" s="16"/>
      <c r="CI108" s="16"/>
      <c r="CJ108" s="16"/>
      <c r="CK108" s="16"/>
      <c r="CL108" s="16"/>
      <c r="CM108" s="16"/>
      <c r="CN108" s="16"/>
      <c r="CO108" s="16"/>
      <c r="CP108" s="16"/>
      <c r="CQ108" s="16"/>
      <c r="CR108" s="16"/>
      <c r="CS108" s="16"/>
      <c r="CT108" s="16"/>
      <c r="CU108" s="16"/>
      <c r="CV108" s="16"/>
      <c r="CW108" s="16"/>
      <c r="CX108" s="16"/>
      <c r="CY108" s="16"/>
      <c r="CZ108" s="16"/>
      <c r="DA108" s="16"/>
      <c r="DB108" s="16"/>
      <c r="DC108" s="16"/>
      <c r="DD108" s="16"/>
      <c r="DE108" s="16"/>
      <c r="DF108" s="16"/>
      <c r="DG108" s="16"/>
      <c r="DH108" s="16"/>
      <c r="DI108" s="16"/>
      <c r="DJ108" s="16"/>
      <c r="DK108" s="16"/>
      <c r="DL108" s="16"/>
      <c r="DM108" s="16"/>
      <c r="DN108" s="16"/>
      <c r="DO108" s="16"/>
      <c r="DP108" s="16"/>
      <c r="DQ108" s="16"/>
      <c r="DR108" s="16"/>
      <c r="DS108" s="16"/>
      <c r="DT108" s="16"/>
      <c r="DU108" s="16"/>
      <c r="DV108" s="16"/>
      <c r="DW108" s="16"/>
      <c r="DX108" s="16"/>
      <c r="DY108" s="16"/>
    </row>
    <row r="109" spans="1:129" s="8" customFormat="1" ht="39" customHeight="1" x14ac:dyDescent="0.2">
      <c r="A109" s="19"/>
      <c r="B109" s="724"/>
      <c r="C109" s="1032"/>
      <c r="D109" s="18" t="s">
        <v>158</v>
      </c>
      <c r="E109" s="496"/>
      <c r="F109" s="449">
        <f>0.223/1000</f>
        <v>2.23E-4</v>
      </c>
      <c r="G109" s="497"/>
      <c r="H109" s="498"/>
      <c r="I109" s="498"/>
      <c r="J109" s="498"/>
      <c r="K109" s="499"/>
      <c r="L109" s="500"/>
      <c r="M109" s="501"/>
      <c r="N109" s="212"/>
      <c r="O109"/>
      <c r="P109" s="502"/>
      <c r="Q109" s="449">
        <f>0.223/1000</f>
        <v>2.23E-4</v>
      </c>
      <c r="R109" s="503"/>
      <c r="S109" s="504"/>
      <c r="T109" s="504"/>
      <c r="U109" s="504"/>
      <c r="V109" s="505"/>
      <c r="W109" s="506"/>
      <c r="X109" s="507"/>
      <c r="Y109" s="508"/>
      <c r="Z109" s="19"/>
      <c r="AA109" s="19"/>
      <c r="AB109" s="449">
        <f>0.223/1000</f>
        <v>2.23E-4</v>
      </c>
      <c r="AC109" s="637">
        <f>'Données de consommation'!K110*'Emissions 2010_2014_2017'!AB109</f>
        <v>72.4644744</v>
      </c>
      <c r="AD109" s="611"/>
      <c r="AE109" s="611"/>
      <c r="AF109" s="611"/>
      <c r="AG109" s="612"/>
      <c r="AH109" s="561">
        <f t="shared" si="17"/>
        <v>72.4644744</v>
      </c>
      <c r="AI109" s="613">
        <v>0.5</v>
      </c>
      <c r="AJ109" s="636">
        <f>'Emissions 2010_2014_2017'!$AH109*'Emissions 2010_2014_2017'!$AI109</f>
        <v>36.2322372</v>
      </c>
      <c r="AK109" s="679"/>
      <c r="AL109" s="841"/>
      <c r="AM109" s="19"/>
      <c r="AN109" s="16"/>
      <c r="AO109" s="16"/>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c r="BM109" s="16"/>
      <c r="BN109" s="16"/>
      <c r="BO109" s="16"/>
      <c r="BP109" s="16"/>
      <c r="BQ109" s="16"/>
      <c r="BR109" s="16"/>
      <c r="BS109" s="16"/>
      <c r="BT109" s="16"/>
      <c r="BU109" s="16"/>
      <c r="BV109" s="16"/>
      <c r="BW109" s="16"/>
      <c r="BX109" s="16"/>
      <c r="BY109" s="16"/>
      <c r="BZ109" s="16"/>
      <c r="CA109" s="16"/>
      <c r="CB109" s="16"/>
      <c r="CC109" s="16"/>
      <c r="CD109" s="16"/>
      <c r="CE109" s="16"/>
      <c r="CF109" s="16"/>
      <c r="CG109" s="16"/>
      <c r="CH109" s="16"/>
      <c r="CI109" s="16"/>
      <c r="CJ109" s="16"/>
      <c r="CK109" s="16"/>
      <c r="CL109" s="16"/>
      <c r="CM109" s="16"/>
      <c r="CN109" s="16"/>
      <c r="CO109" s="16"/>
      <c r="CP109" s="16"/>
      <c r="CQ109" s="16"/>
      <c r="CR109" s="16"/>
      <c r="CS109" s="16"/>
      <c r="CT109" s="16"/>
      <c r="CU109" s="16"/>
      <c r="CV109" s="16"/>
      <c r="CW109" s="16"/>
      <c r="CX109" s="16"/>
      <c r="CY109" s="16"/>
      <c r="CZ109" s="16"/>
      <c r="DA109" s="16"/>
      <c r="DB109" s="16"/>
      <c r="DC109" s="16"/>
      <c r="DD109" s="16"/>
      <c r="DE109" s="16"/>
      <c r="DF109" s="16"/>
      <c r="DG109" s="16"/>
      <c r="DH109" s="16"/>
      <c r="DI109" s="16"/>
      <c r="DJ109" s="16"/>
      <c r="DK109" s="16"/>
      <c r="DL109" s="16"/>
      <c r="DM109" s="16"/>
      <c r="DN109" s="16"/>
      <c r="DO109" s="16"/>
      <c r="DP109" s="16"/>
      <c r="DQ109" s="16"/>
      <c r="DR109" s="16"/>
      <c r="DS109" s="16"/>
      <c r="DT109" s="16"/>
      <c r="DU109" s="16"/>
      <c r="DV109" s="16"/>
      <c r="DW109" s="16"/>
      <c r="DX109" s="16"/>
      <c r="DY109" s="16"/>
    </row>
    <row r="110" spans="1:129" s="8" customFormat="1" ht="39" customHeight="1" x14ac:dyDescent="0.2">
      <c r="A110" s="19"/>
      <c r="B110" s="724"/>
      <c r="C110" s="1032"/>
      <c r="D110" s="18" t="s">
        <v>162</v>
      </c>
      <c r="E110" s="496"/>
      <c r="F110" s="449">
        <f>0.216/1000</f>
        <v>2.1599999999999999E-4</v>
      </c>
      <c r="G110" s="497"/>
      <c r="H110" s="498"/>
      <c r="I110" s="498"/>
      <c r="J110" s="498"/>
      <c r="K110" s="499"/>
      <c r="L110" s="500"/>
      <c r="M110" s="501"/>
      <c r="N110" s="212"/>
      <c r="O110"/>
      <c r="P110" s="502"/>
      <c r="Q110" s="449">
        <f>0.216/1000</f>
        <v>2.1599999999999999E-4</v>
      </c>
      <c r="R110" s="503"/>
      <c r="S110" s="504"/>
      <c r="T110" s="504"/>
      <c r="U110" s="504"/>
      <c r="V110" s="505"/>
      <c r="W110" s="506"/>
      <c r="X110" s="507"/>
      <c r="Y110" s="508"/>
      <c r="Z110" s="19"/>
      <c r="AA110" s="19"/>
      <c r="AB110" s="449">
        <f>0.216/1000</f>
        <v>2.1599999999999999E-4</v>
      </c>
      <c r="AC110" s="604">
        <f>'Données de consommation'!K111*'Emissions 2010_2014_2017'!AB110</f>
        <v>13.0464</v>
      </c>
      <c r="AD110" s="611"/>
      <c r="AE110" s="611"/>
      <c r="AF110" s="611"/>
      <c r="AG110" s="612"/>
      <c r="AH110" s="561">
        <f t="shared" si="17"/>
        <v>13.0464</v>
      </c>
      <c r="AI110" s="613">
        <v>0.5</v>
      </c>
      <c r="AJ110" s="636">
        <f>'Emissions 2010_2014_2017'!$AH110*'Emissions 2010_2014_2017'!$AI110</f>
        <v>6.5232000000000001</v>
      </c>
      <c r="AK110" s="679"/>
      <c r="AL110" s="841"/>
      <c r="AM110" s="19"/>
      <c r="AN110" s="16"/>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c r="BN110" s="16"/>
      <c r="BO110" s="16"/>
      <c r="BP110" s="16"/>
      <c r="BQ110" s="16"/>
      <c r="BR110" s="16"/>
      <c r="BS110" s="16"/>
      <c r="BT110" s="16"/>
      <c r="BU110" s="16"/>
      <c r="BV110" s="16"/>
      <c r="BW110" s="16"/>
      <c r="BX110" s="16"/>
      <c r="BY110" s="16"/>
      <c r="BZ110" s="16"/>
      <c r="CA110" s="16"/>
      <c r="CB110" s="16"/>
      <c r="CC110" s="16"/>
      <c r="CD110" s="16"/>
      <c r="CE110" s="16"/>
      <c r="CF110" s="16"/>
      <c r="CG110" s="16"/>
      <c r="CH110" s="16"/>
      <c r="CI110" s="16"/>
      <c r="CJ110" s="16"/>
      <c r="CK110" s="16"/>
      <c r="CL110" s="16"/>
      <c r="CM110" s="16"/>
      <c r="CN110" s="16"/>
      <c r="CO110" s="16"/>
      <c r="CP110" s="16"/>
      <c r="CQ110" s="16"/>
      <c r="CR110" s="16"/>
      <c r="CS110" s="16"/>
      <c r="CT110" s="16"/>
      <c r="CU110" s="16"/>
      <c r="CV110" s="16"/>
      <c r="CW110" s="16"/>
      <c r="CX110" s="16"/>
      <c r="CY110" s="16"/>
      <c r="CZ110" s="16"/>
      <c r="DA110" s="16"/>
      <c r="DB110" s="16"/>
      <c r="DC110" s="16"/>
      <c r="DD110" s="16"/>
      <c r="DE110" s="16"/>
      <c r="DF110" s="16"/>
      <c r="DG110" s="16"/>
      <c r="DH110" s="16"/>
      <c r="DI110" s="16"/>
      <c r="DJ110" s="16"/>
      <c r="DK110" s="16"/>
      <c r="DL110" s="16"/>
      <c r="DM110" s="16"/>
      <c r="DN110" s="16"/>
      <c r="DO110" s="16"/>
      <c r="DP110" s="16"/>
      <c r="DQ110" s="16"/>
      <c r="DR110" s="16"/>
      <c r="DS110" s="16"/>
      <c r="DT110" s="16"/>
      <c r="DU110" s="16"/>
      <c r="DV110" s="16"/>
      <c r="DW110" s="16"/>
      <c r="DX110" s="16"/>
      <c r="DY110" s="16"/>
    </row>
    <row r="111" spans="1:129" s="8" customFormat="1" ht="25.5" customHeight="1" thickBot="1" x14ac:dyDescent="0.25">
      <c r="A111" s="19"/>
      <c r="B111" s="724"/>
      <c r="C111" s="1038"/>
      <c r="D111" s="756" t="s">
        <v>163</v>
      </c>
      <c r="E111" s="791"/>
      <c r="F111" s="454">
        <f>0.223/1000</f>
        <v>2.23E-4</v>
      </c>
      <c r="G111" s="792"/>
      <c r="H111" s="793"/>
      <c r="I111" s="793"/>
      <c r="J111" s="793"/>
      <c r="K111" s="794"/>
      <c r="L111" s="795"/>
      <c r="M111" s="796"/>
      <c r="N111" s="212"/>
      <c r="O111"/>
      <c r="P111" s="813"/>
      <c r="Q111" s="454">
        <f>0.223/1000</f>
        <v>2.23E-4</v>
      </c>
      <c r="R111" s="814"/>
      <c r="S111" s="815"/>
      <c r="T111" s="815"/>
      <c r="U111" s="815"/>
      <c r="V111" s="816"/>
      <c r="W111" s="817"/>
      <c r="X111" s="818"/>
      <c r="Y111" s="819"/>
      <c r="Z111" s="19"/>
      <c r="AA111" s="19"/>
      <c r="AB111" s="454">
        <f>0.223/1000</f>
        <v>2.23E-4</v>
      </c>
      <c r="AC111" s="861">
        <f>'Données de consommation'!K112*'Emissions 2010_2014_2017'!AB111</f>
        <v>30.961542999999999</v>
      </c>
      <c r="AD111" s="624"/>
      <c r="AE111" s="624"/>
      <c r="AF111" s="624"/>
      <c r="AG111" s="625"/>
      <c r="AH111" s="853">
        <f t="shared" si="17"/>
        <v>30.961542999999999</v>
      </c>
      <c r="AI111" s="634">
        <v>0.5</v>
      </c>
      <c r="AJ111" s="844">
        <f>'Emissions 2010_2014_2017'!$AH111*'Emissions 2010_2014_2017'!$AI111</f>
        <v>15.480771499999999</v>
      </c>
      <c r="AK111" s="845"/>
      <c r="AL111" s="846"/>
      <c r="AM111" s="19"/>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c r="BX111" s="16"/>
      <c r="BY111" s="16"/>
      <c r="BZ111" s="16"/>
      <c r="CA111" s="16"/>
      <c r="CB111" s="16"/>
      <c r="CC111" s="16"/>
      <c r="CD111" s="16"/>
      <c r="CE111" s="16"/>
      <c r="CF111" s="16"/>
      <c r="CG111" s="16"/>
      <c r="CH111" s="16"/>
      <c r="CI111" s="16"/>
      <c r="CJ111" s="16"/>
      <c r="CK111" s="16"/>
      <c r="CL111" s="16"/>
      <c r="CM111" s="16"/>
      <c r="CN111" s="16"/>
      <c r="CO111" s="16"/>
      <c r="CP111" s="16"/>
      <c r="CQ111" s="16"/>
      <c r="CR111" s="16"/>
      <c r="CS111" s="16"/>
      <c r="CT111" s="16"/>
      <c r="CU111" s="16"/>
      <c r="CV111" s="16"/>
      <c r="CW111" s="16"/>
      <c r="CX111" s="16"/>
      <c r="CY111" s="16"/>
      <c r="CZ111" s="16"/>
      <c r="DA111" s="16"/>
      <c r="DB111" s="16"/>
      <c r="DC111" s="16"/>
      <c r="DD111" s="16"/>
      <c r="DE111" s="16"/>
      <c r="DF111" s="16"/>
      <c r="DG111" s="16"/>
      <c r="DH111" s="16"/>
      <c r="DI111" s="16"/>
      <c r="DJ111" s="16"/>
      <c r="DK111" s="16"/>
      <c r="DL111" s="16"/>
      <c r="DM111" s="16"/>
      <c r="DN111" s="16"/>
      <c r="DO111" s="16"/>
      <c r="DP111" s="16"/>
      <c r="DQ111" s="16"/>
      <c r="DR111" s="16"/>
      <c r="DS111" s="16"/>
      <c r="DT111" s="16"/>
      <c r="DU111" s="16"/>
      <c r="DV111" s="16"/>
      <c r="DW111" s="16"/>
      <c r="DX111" s="16"/>
      <c r="DY111" s="16"/>
    </row>
    <row r="112" spans="1:129" s="8" customFormat="1" ht="25.5" customHeight="1" x14ac:dyDescent="0.2">
      <c r="A112" s="19"/>
      <c r="B112" s="724"/>
      <c r="C112" s="1035" t="s">
        <v>136</v>
      </c>
      <c r="D112" s="1036"/>
      <c r="E112" s="493"/>
      <c r="F112" s="453">
        <f>650/1000</f>
        <v>0.65</v>
      </c>
      <c r="G112" s="779"/>
      <c r="H112" s="780"/>
      <c r="I112" s="780"/>
      <c r="J112" s="780"/>
      <c r="K112" s="781"/>
      <c r="L112" s="782"/>
      <c r="M112" s="783"/>
      <c r="N112" s="212"/>
      <c r="O112"/>
      <c r="P112" s="801"/>
      <c r="Q112" s="453">
        <f>650/1000</f>
        <v>0.65</v>
      </c>
      <c r="R112" s="802"/>
      <c r="S112" s="803"/>
      <c r="T112" s="803"/>
      <c r="U112" s="803"/>
      <c r="V112" s="804"/>
      <c r="W112" s="506"/>
      <c r="X112" s="805"/>
      <c r="Y112" s="806"/>
      <c r="Z112" s="19"/>
      <c r="AA112" s="19"/>
      <c r="AB112" s="453">
        <f>650/1000</f>
        <v>0.65</v>
      </c>
      <c r="AC112" s="619">
        <f>AB112*'Données de consommation'!K113</f>
        <v>344.17500000000001</v>
      </c>
      <c r="AD112" s="619"/>
      <c r="AE112" s="619"/>
      <c r="AF112" s="619"/>
      <c r="AG112" s="858"/>
      <c r="AH112" s="561">
        <f>SUM(AC112:AG112)</f>
        <v>344.17500000000001</v>
      </c>
      <c r="AI112" s="836">
        <v>0.5</v>
      </c>
      <c r="AJ112" s="636">
        <f>AH112*AI112</f>
        <v>172.08750000000001</v>
      </c>
      <c r="AK112" s="605">
        <f>$AH112-$L112</f>
        <v>344.17500000000001</v>
      </c>
      <c r="AL112" s="605">
        <f>$AH112-$W112</f>
        <v>344.17500000000001</v>
      </c>
      <c r="AM112" s="19"/>
      <c r="AN112" s="594" t="s">
        <v>171</v>
      </c>
      <c r="AO112" s="16"/>
      <c r="AP112" s="16"/>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c r="CA112" s="16"/>
      <c r="CB112" s="16"/>
      <c r="CC112" s="16"/>
      <c r="CD112" s="16"/>
      <c r="CE112" s="16"/>
      <c r="CF112" s="16"/>
      <c r="CG112" s="16"/>
      <c r="CH112" s="16"/>
      <c r="CI112" s="16"/>
      <c r="CJ112" s="16"/>
      <c r="CK112" s="16"/>
      <c r="CL112" s="16"/>
      <c r="CM112" s="16"/>
      <c r="CN112" s="16"/>
      <c r="CO112" s="16"/>
      <c r="CP112" s="16"/>
      <c r="CQ112" s="16"/>
      <c r="CR112" s="16"/>
      <c r="CS112" s="16"/>
      <c r="CT112" s="16"/>
      <c r="CU112" s="16"/>
      <c r="CV112" s="16"/>
      <c r="CW112" s="16"/>
      <c r="CX112" s="16"/>
      <c r="CY112" s="16"/>
      <c r="CZ112" s="16"/>
      <c r="DA112" s="16"/>
      <c r="DB112" s="16"/>
      <c r="DC112" s="16"/>
      <c r="DD112" s="16"/>
      <c r="DE112" s="16"/>
      <c r="DF112" s="16"/>
      <c r="DG112" s="16"/>
      <c r="DH112" s="16"/>
      <c r="DI112" s="16"/>
      <c r="DJ112" s="16"/>
      <c r="DK112" s="16"/>
      <c r="DL112" s="16"/>
      <c r="DM112" s="16"/>
      <c r="DN112" s="16"/>
      <c r="DO112" s="16"/>
      <c r="DP112" s="16"/>
      <c r="DQ112" s="16"/>
      <c r="DR112" s="16"/>
      <c r="DS112" s="16"/>
      <c r="DT112" s="16"/>
      <c r="DU112" s="16"/>
      <c r="DV112" s="16"/>
      <c r="DW112" s="16"/>
      <c r="DX112" s="16"/>
      <c r="DY112" s="16"/>
    </row>
    <row r="113" spans="1:129" s="7" customFormat="1" x14ac:dyDescent="0.2">
      <c r="A113" s="19"/>
      <c r="B113" s="724"/>
      <c r="C113" s="1098" t="s">
        <v>28</v>
      </c>
      <c r="D113" s="1099"/>
      <c r="E113" s="84"/>
      <c r="F113" s="86"/>
      <c r="G113" s="388"/>
      <c r="H113" s="389"/>
      <c r="I113" s="389"/>
      <c r="J113" s="389"/>
      <c r="K113" s="390"/>
      <c r="L113" s="391">
        <f>SUM(G113:K113)</f>
        <v>0</v>
      </c>
      <c r="M113" s="392"/>
      <c r="N113" s="212"/>
      <c r="O113"/>
      <c r="P113" s="86"/>
      <c r="Q113" s="86"/>
      <c r="R113" s="147"/>
      <c r="S113" s="148"/>
      <c r="T113" s="148"/>
      <c r="U113" s="148"/>
      <c r="V113" s="149"/>
      <c r="W113" s="273">
        <f>SUM($R113:$V113)</f>
        <v>0</v>
      </c>
      <c r="X113" s="272"/>
      <c r="Y113" s="150"/>
      <c r="Z113" s="38"/>
      <c r="AA113" s="38"/>
      <c r="AB113" s="86"/>
      <c r="AC113" s="638"/>
      <c r="AD113" s="639"/>
      <c r="AE113" s="639"/>
      <c r="AF113" s="639"/>
      <c r="AG113" s="640"/>
      <c r="AH113" s="520">
        <f>SUM($R113:$V113)</f>
        <v>0</v>
      </c>
      <c r="AI113" s="641"/>
      <c r="AJ113" s="642"/>
      <c r="AK113" s="605">
        <f t="shared" ref="AK113:AL116" si="18">$W113-$L113</f>
        <v>0</v>
      </c>
      <c r="AL113" s="605">
        <f t="shared" si="18"/>
        <v>0</v>
      </c>
      <c r="AM113" s="38"/>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c r="CA113" s="17"/>
      <c r="CB113" s="17"/>
      <c r="CC113" s="17"/>
      <c r="CD113" s="17"/>
      <c r="CE113" s="17"/>
      <c r="CF113" s="17"/>
      <c r="CG113" s="17"/>
      <c r="CH113" s="17"/>
      <c r="CI113" s="17"/>
      <c r="CJ113" s="17"/>
      <c r="CK113" s="17"/>
      <c r="CL113" s="17"/>
      <c r="CM113" s="17"/>
      <c r="CN113" s="17"/>
      <c r="CO113" s="17"/>
      <c r="CP113" s="17"/>
      <c r="CQ113" s="17"/>
      <c r="CR113" s="17"/>
      <c r="CS113" s="17"/>
      <c r="CT113" s="17"/>
      <c r="CU113" s="17"/>
      <c r="CV113" s="17"/>
      <c r="CW113" s="17"/>
      <c r="CX113" s="17"/>
      <c r="CY113" s="17"/>
      <c r="CZ113" s="17"/>
      <c r="DA113" s="17"/>
      <c r="DB113" s="17"/>
      <c r="DC113" s="17"/>
      <c r="DD113" s="17"/>
      <c r="DE113" s="17"/>
      <c r="DF113" s="17"/>
      <c r="DG113" s="17"/>
      <c r="DH113" s="17"/>
      <c r="DI113" s="17"/>
      <c r="DJ113" s="17"/>
      <c r="DK113" s="17"/>
      <c r="DL113" s="17"/>
      <c r="DM113" s="17"/>
      <c r="DN113" s="17"/>
      <c r="DO113" s="17"/>
      <c r="DP113" s="17"/>
      <c r="DQ113" s="17"/>
      <c r="DR113" s="17"/>
      <c r="DS113" s="17"/>
      <c r="DT113" s="17"/>
      <c r="DU113" s="17"/>
      <c r="DV113" s="17"/>
      <c r="DW113" s="17"/>
      <c r="DX113" s="17"/>
      <c r="DY113" s="17"/>
    </row>
    <row r="114" spans="1:129" x14ac:dyDescent="0.2">
      <c r="B114" s="724"/>
      <c r="C114" s="1098" t="s">
        <v>29</v>
      </c>
      <c r="D114" s="1099"/>
      <c r="E114" s="84"/>
      <c r="F114" s="85"/>
      <c r="G114" s="388"/>
      <c r="H114" s="389"/>
      <c r="I114" s="389"/>
      <c r="J114" s="389"/>
      <c r="K114" s="390"/>
      <c r="L114" s="391">
        <f>SUM(G114:K114)</f>
        <v>0</v>
      </c>
      <c r="M114" s="392"/>
      <c r="P114" s="85"/>
      <c r="Q114" s="85"/>
      <c r="R114" s="137"/>
      <c r="S114" s="138"/>
      <c r="T114" s="138"/>
      <c r="U114" s="138"/>
      <c r="V114" s="139"/>
      <c r="W114" s="273">
        <f>SUM($R114:$V114)</f>
        <v>0</v>
      </c>
      <c r="X114" s="268"/>
      <c r="Y114" s="144"/>
      <c r="AB114" s="85"/>
      <c r="AC114" s="616"/>
      <c r="AD114" s="611"/>
      <c r="AE114" s="611"/>
      <c r="AF114" s="611"/>
      <c r="AG114" s="612"/>
      <c r="AH114" s="520">
        <f>SUM($R114:$V114)</f>
        <v>0</v>
      </c>
      <c r="AI114" s="617"/>
      <c r="AJ114" s="643"/>
      <c r="AK114" s="605">
        <f t="shared" si="18"/>
        <v>0</v>
      </c>
      <c r="AL114" s="605">
        <f t="shared" si="18"/>
        <v>0</v>
      </c>
    </row>
    <row r="115" spans="1:129" x14ac:dyDescent="0.2">
      <c r="B115" s="724"/>
      <c r="C115" s="1098" t="s">
        <v>30</v>
      </c>
      <c r="D115" s="1099"/>
      <c r="E115" s="84"/>
      <c r="F115" s="85"/>
      <c r="G115" s="388"/>
      <c r="H115" s="389"/>
      <c r="I115" s="389"/>
      <c r="J115" s="389"/>
      <c r="K115" s="390"/>
      <c r="L115" s="391">
        <f>SUM(G115:K115)</f>
        <v>0</v>
      </c>
      <c r="M115" s="392"/>
      <c r="P115" s="85"/>
      <c r="Q115" s="85"/>
      <c r="R115" s="137"/>
      <c r="S115" s="138"/>
      <c r="T115" s="138"/>
      <c r="U115" s="138"/>
      <c r="V115" s="139"/>
      <c r="W115" s="273">
        <f>SUM($R115:$V115)</f>
        <v>0</v>
      </c>
      <c r="X115" s="268"/>
      <c r="Y115" s="144"/>
      <c r="AB115" s="85"/>
      <c r="AC115" s="616"/>
      <c r="AD115" s="611"/>
      <c r="AE115" s="611"/>
      <c r="AF115" s="611"/>
      <c r="AG115" s="612"/>
      <c r="AH115" s="520">
        <f>SUM($R115:$V115)</f>
        <v>0</v>
      </c>
      <c r="AI115" s="617"/>
      <c r="AJ115" s="643"/>
      <c r="AK115" s="605">
        <f t="shared" si="18"/>
        <v>0</v>
      </c>
      <c r="AL115" s="605">
        <f t="shared" si="18"/>
        <v>0</v>
      </c>
    </row>
    <row r="116" spans="1:129" ht="13.5" thickBot="1" x14ac:dyDescent="0.25">
      <c r="B116" s="724"/>
      <c r="C116" s="1096"/>
      <c r="D116" s="1097"/>
      <c r="E116" s="473"/>
      <c r="F116" s="455"/>
      <c r="G116" s="410"/>
      <c r="H116" s="411"/>
      <c r="I116" s="411"/>
      <c r="J116" s="411"/>
      <c r="K116" s="412"/>
      <c r="L116" s="423">
        <f>SUM(G116:K116)</f>
        <v>0</v>
      </c>
      <c r="M116" s="424"/>
      <c r="P116" s="64"/>
      <c r="Q116" s="455"/>
      <c r="R116" s="151"/>
      <c r="S116" s="308"/>
      <c r="T116" s="308"/>
      <c r="U116" s="308"/>
      <c r="V116" s="152"/>
      <c r="W116" s="293"/>
      <c r="X116" s="296"/>
      <c r="Y116" s="153"/>
      <c r="AB116" s="455"/>
      <c r="AC116" s="644"/>
      <c r="AD116" s="620"/>
      <c r="AE116" s="620"/>
      <c r="AF116" s="620"/>
      <c r="AG116" s="621"/>
      <c r="AH116" s="520"/>
      <c r="AI116" s="622"/>
      <c r="AJ116" s="645"/>
      <c r="AK116" s="646">
        <f t="shared" si="18"/>
        <v>0</v>
      </c>
      <c r="AL116" s="646">
        <f t="shared" si="18"/>
        <v>0</v>
      </c>
    </row>
    <row r="117" spans="1:129" s="16" customFormat="1" ht="13.5" thickBot="1" x14ac:dyDescent="0.25">
      <c r="A117" s="19"/>
      <c r="B117" s="726"/>
      <c r="C117" s="1083" t="s">
        <v>2</v>
      </c>
      <c r="D117" s="1084"/>
      <c r="E117" s="494"/>
      <c r="F117" s="452"/>
      <c r="G117" s="425"/>
      <c r="H117" s="426"/>
      <c r="I117" s="426"/>
      <c r="J117" s="426"/>
      <c r="K117" s="427"/>
      <c r="L117" s="428" t="e">
        <f>SUM(L36:L116)</f>
        <v>#VALUE!</v>
      </c>
      <c r="M117" s="429" t="e">
        <f>SUM(M36:M116)</f>
        <v>#VALUE!</v>
      </c>
      <c r="N117" s="212"/>
      <c r="O117"/>
      <c r="P117" s="65"/>
      <c r="Q117" s="452"/>
      <c r="R117" s="134"/>
      <c r="S117" s="309"/>
      <c r="T117" s="309"/>
      <c r="U117" s="309"/>
      <c r="V117" s="154"/>
      <c r="W117" s="295">
        <f>W36+W37+W38+W44+W47+W48+W49+W57+W84+W97+W58</f>
        <v>685.20886226300001</v>
      </c>
      <c r="X117" s="297"/>
      <c r="Y117" s="155">
        <f>SUM(Y36:Y116)</f>
        <v>479.23032693066955</v>
      </c>
      <c r="Z117" s="19"/>
      <c r="AA117" s="19"/>
      <c r="AB117" s="452"/>
      <c r="AC117" s="647"/>
      <c r="AD117" s="648"/>
      <c r="AE117" s="648"/>
      <c r="AF117" s="648"/>
      <c r="AG117" s="649"/>
      <c r="AH117" s="283">
        <f>SUM(AH36:AH116)-AH58-AH84-AH97-AH44-AH49</f>
        <v>2467.591325358937</v>
      </c>
      <c r="AI117" s="650"/>
      <c r="AJ117" s="651">
        <f>SUM(AJ36:AJ116)</f>
        <v>1257.8480929493219</v>
      </c>
      <c r="AK117" s="652" t="e">
        <f>$AH117-$L117</f>
        <v>#VALUE!</v>
      </c>
      <c r="AL117" s="652">
        <f>$AH117-$W117</f>
        <v>1782.3824630959371</v>
      </c>
      <c r="AM117" s="19"/>
    </row>
    <row r="118" spans="1:129" s="16" customFormat="1" ht="13.5" thickBot="1" x14ac:dyDescent="0.25">
      <c r="A118" s="19"/>
      <c r="B118" s="1"/>
      <c r="C118" s="1"/>
      <c r="D118" s="1"/>
      <c r="E118" s="1"/>
      <c r="F118" s="19"/>
      <c r="G118" s="1"/>
      <c r="H118" s="1"/>
      <c r="I118" s="1"/>
      <c r="J118" s="1"/>
      <c r="K118" s="1"/>
      <c r="L118" s="1"/>
      <c r="M118" s="1"/>
      <c r="N118" s="212"/>
      <c r="O118"/>
      <c r="P118" s="19"/>
      <c r="Q118" s="19"/>
      <c r="R118" s="19"/>
      <c r="S118" s="19"/>
      <c r="T118" s="19"/>
      <c r="U118" s="19"/>
      <c r="V118" s="19"/>
      <c r="W118" s="19"/>
      <c r="X118" s="19"/>
      <c r="Y118" s="19"/>
      <c r="Z118" s="19"/>
      <c r="AA118" s="19"/>
      <c r="AB118" s="19"/>
      <c r="AC118" s="19"/>
      <c r="AD118" s="19"/>
      <c r="AE118" s="19"/>
      <c r="AF118" s="19"/>
      <c r="AG118" s="19"/>
      <c r="AH118" s="19"/>
      <c r="AI118" s="19"/>
      <c r="AJ118" s="19"/>
      <c r="AK118" s="19"/>
      <c r="AL118" s="19"/>
      <c r="AM118" s="19"/>
    </row>
    <row r="119" spans="1:129" s="16" customFormat="1" ht="13.5" thickBot="1" x14ac:dyDescent="0.25">
      <c r="A119" s="19"/>
      <c r="B119" s="1"/>
      <c r="C119" s="1"/>
      <c r="D119" s="211"/>
      <c r="E119" s="1" t="s">
        <v>5</v>
      </c>
      <c r="F119" s="19"/>
      <c r="G119" s="19"/>
      <c r="H119" s="19"/>
      <c r="I119" s="1"/>
      <c r="J119" s="1"/>
      <c r="K119" s="1"/>
      <c r="L119" s="1"/>
      <c r="M119" s="1"/>
      <c r="N119" s="212"/>
      <c r="O119"/>
      <c r="P119" s="19"/>
      <c r="Q119" s="19"/>
      <c r="R119" s="19"/>
      <c r="S119" s="19"/>
      <c r="T119" s="19"/>
      <c r="U119" s="19"/>
      <c r="V119" s="19"/>
      <c r="W119" s="19"/>
      <c r="X119" s="19"/>
      <c r="Y119" s="19"/>
      <c r="Z119" s="19"/>
      <c r="AA119" s="19"/>
      <c r="AB119" s="19"/>
      <c r="AC119" s="19"/>
      <c r="AD119" s="19"/>
      <c r="AE119" s="19"/>
      <c r="AF119" s="19"/>
      <c r="AG119" s="19"/>
      <c r="AH119" s="19"/>
      <c r="AI119" s="19"/>
      <c r="AJ119" s="19"/>
      <c r="AK119" s="19"/>
      <c r="AL119" s="19"/>
      <c r="AM119" s="19"/>
    </row>
    <row r="120" spans="1:129" s="16" customFormat="1" x14ac:dyDescent="0.2">
      <c r="A120" s="19"/>
      <c r="B120" s="1"/>
      <c r="C120" s="1"/>
      <c r="D120" s="15" t="s">
        <v>9</v>
      </c>
      <c r="E120" s="1"/>
      <c r="F120" s="19"/>
      <c r="G120" s="19"/>
      <c r="H120" s="1"/>
      <c r="I120" s="1"/>
      <c r="J120" s="1"/>
      <c r="K120" s="1"/>
      <c r="L120" s="1"/>
      <c r="M120" s="1"/>
      <c r="N120" s="212"/>
      <c r="O120"/>
      <c r="P120" s="19"/>
      <c r="Q120" s="19"/>
      <c r="R120" s="19"/>
      <c r="S120" s="19"/>
      <c r="T120" s="19"/>
      <c r="U120" s="19"/>
      <c r="V120" s="19"/>
      <c r="W120" s="19"/>
      <c r="X120" s="19"/>
      <c r="Y120" s="19"/>
      <c r="Z120" s="19"/>
      <c r="AA120" s="19"/>
      <c r="AB120" s="19"/>
      <c r="AC120" s="19"/>
      <c r="AD120" s="19"/>
      <c r="AE120" s="19"/>
      <c r="AF120" s="19"/>
      <c r="AG120" s="19"/>
      <c r="AH120" s="19"/>
      <c r="AI120" s="19"/>
      <c r="AJ120" s="19"/>
      <c r="AK120" s="19"/>
      <c r="AL120" s="19"/>
      <c r="AM120" s="19"/>
    </row>
    <row r="121" spans="1:129" s="16" customFormat="1" x14ac:dyDescent="0.2">
      <c r="A121" s="19"/>
      <c r="B121" s="1"/>
      <c r="C121" s="1"/>
      <c r="D121" s="14" t="s">
        <v>7</v>
      </c>
      <c r="E121" s="14"/>
      <c r="F121" s="19"/>
      <c r="G121" s="1"/>
      <c r="H121" s="1"/>
      <c r="I121" s="1"/>
      <c r="J121" s="1"/>
      <c r="K121" s="1"/>
      <c r="L121" s="1"/>
      <c r="M121" s="1"/>
      <c r="N121" s="212"/>
      <c r="O121"/>
      <c r="P121" s="19"/>
      <c r="Q121" s="19"/>
      <c r="R121" s="19"/>
      <c r="S121" s="19"/>
      <c r="T121" s="19"/>
      <c r="U121" s="19"/>
      <c r="V121" s="19"/>
      <c r="W121" s="19"/>
      <c r="X121" s="19"/>
      <c r="Y121" s="19"/>
      <c r="Z121" s="19"/>
      <c r="AA121" s="19"/>
      <c r="AB121" s="19"/>
      <c r="AC121" s="19"/>
      <c r="AD121" s="19"/>
      <c r="AE121" s="19"/>
      <c r="AF121" s="19"/>
      <c r="AG121" s="19"/>
      <c r="AH121" s="19"/>
      <c r="AI121" s="19"/>
      <c r="AJ121" s="19"/>
      <c r="AK121" s="19"/>
      <c r="AL121" s="19"/>
      <c r="AM121" s="19"/>
    </row>
    <row r="122" spans="1:129" s="16" customFormat="1" ht="27.75" customHeight="1" x14ac:dyDescent="0.2">
      <c r="A122" s="19"/>
      <c r="B122" s="19"/>
      <c r="C122" s="19"/>
      <c r="D122" s="1107" t="s">
        <v>95</v>
      </c>
      <c r="E122" s="1107"/>
      <c r="F122" s="1107"/>
      <c r="G122" s="19"/>
      <c r="H122" s="19"/>
      <c r="I122" s="19"/>
      <c r="J122" s="19"/>
      <c r="K122" s="19"/>
      <c r="L122" s="19"/>
      <c r="M122" s="19"/>
      <c r="N122" s="212"/>
      <c r="O122"/>
      <c r="P122" s="19"/>
      <c r="Q122" s="19"/>
      <c r="R122" s="19"/>
      <c r="S122" s="19"/>
      <c r="T122" s="19"/>
      <c r="U122" s="19"/>
      <c r="V122" s="19"/>
      <c r="W122" s="19"/>
      <c r="X122" s="19"/>
      <c r="Y122" s="19"/>
      <c r="Z122" s="19"/>
      <c r="AA122" s="19"/>
      <c r="AB122" s="19"/>
      <c r="AC122" s="19"/>
      <c r="AD122" s="19"/>
      <c r="AE122" s="19"/>
      <c r="AF122" s="19"/>
      <c r="AG122" s="19"/>
      <c r="AH122" s="19"/>
      <c r="AI122" s="19"/>
      <c r="AJ122" s="19"/>
      <c r="AK122" s="19"/>
      <c r="AL122" s="19"/>
      <c r="AM122" s="19"/>
    </row>
    <row r="123" spans="1:129" s="16" customFormat="1" x14ac:dyDescent="0.2">
      <c r="A123" s="19"/>
      <c r="B123" s="19"/>
      <c r="C123" s="19"/>
      <c r="D123" s="19"/>
      <c r="E123" s="19"/>
      <c r="F123" s="19"/>
      <c r="G123" s="19"/>
      <c r="H123" s="19"/>
      <c r="I123" s="19"/>
      <c r="J123" s="19"/>
      <c r="K123" s="19"/>
      <c r="L123" s="19"/>
      <c r="M123" s="19"/>
      <c r="N123" s="212"/>
      <c r="O123"/>
      <c r="P123" s="19"/>
      <c r="Q123" s="19"/>
      <c r="R123" s="19"/>
      <c r="S123" s="19"/>
      <c r="T123" s="19"/>
      <c r="U123" s="19"/>
      <c r="V123" s="19"/>
      <c r="W123" s="19"/>
      <c r="X123" s="19"/>
      <c r="Y123" s="19"/>
      <c r="Z123" s="19"/>
      <c r="AA123" s="19"/>
      <c r="AB123" s="19"/>
      <c r="AC123" s="19"/>
      <c r="AD123" s="19"/>
      <c r="AE123" s="19"/>
      <c r="AF123" s="19"/>
      <c r="AG123" s="19"/>
      <c r="AH123" s="19"/>
      <c r="AI123" s="19"/>
      <c r="AJ123" s="19"/>
      <c r="AK123" s="19"/>
      <c r="AL123" s="19"/>
      <c r="AM123" s="19"/>
    </row>
    <row r="124" spans="1:129" s="16" customFormat="1" x14ac:dyDescent="0.2">
      <c r="A124" s="19"/>
      <c r="B124" s="19"/>
      <c r="C124" s="19"/>
      <c r="D124" s="19"/>
      <c r="E124" s="19"/>
      <c r="F124" s="19"/>
      <c r="G124" s="19"/>
      <c r="H124" s="19"/>
      <c r="I124" s="19"/>
      <c r="J124" s="19"/>
      <c r="K124" s="19"/>
      <c r="L124" s="19"/>
      <c r="M124" s="19"/>
      <c r="N124" s="212"/>
      <c r="O124"/>
      <c r="P124" s="19"/>
      <c r="Q124" s="19"/>
      <c r="R124" s="19"/>
      <c r="S124" s="19"/>
      <c r="T124" s="19"/>
      <c r="U124" s="19"/>
      <c r="V124" s="19"/>
      <c r="W124" s="19"/>
      <c r="X124" s="19"/>
      <c r="Y124" s="19"/>
      <c r="Z124" s="19"/>
      <c r="AA124" s="19"/>
      <c r="AB124" s="19"/>
      <c r="AC124" s="19"/>
      <c r="AD124" s="19"/>
      <c r="AE124" s="19"/>
      <c r="AF124" s="19"/>
      <c r="AG124" s="111">
        <f>SUM(AH72:AH83)</f>
        <v>185.08394358000001</v>
      </c>
      <c r="AH124" s="19"/>
      <c r="AI124" s="19"/>
      <c r="AJ124" s="19"/>
      <c r="AK124" s="19"/>
      <c r="AL124" s="19"/>
      <c r="AM124" s="19"/>
    </row>
    <row r="125" spans="1:129" s="16" customFormat="1" x14ac:dyDescent="0.2">
      <c r="A125" s="19"/>
      <c r="B125" s="19"/>
      <c r="C125" s="19"/>
      <c r="D125" s="19"/>
      <c r="E125" s="19"/>
      <c r="F125" s="19"/>
      <c r="G125" s="19"/>
      <c r="H125" s="19"/>
      <c r="I125" s="19"/>
      <c r="J125" s="19"/>
      <c r="K125" s="19"/>
      <c r="L125" s="19"/>
      <c r="M125" s="19"/>
      <c r="N125" s="212"/>
      <c r="O125"/>
      <c r="P125" s="19"/>
      <c r="Q125" s="19"/>
      <c r="R125" s="19"/>
      <c r="S125" s="19"/>
      <c r="T125" s="19"/>
      <c r="U125" s="19"/>
      <c r="V125" s="19"/>
      <c r="W125" s="19"/>
      <c r="X125" s="19"/>
      <c r="Y125" s="19"/>
      <c r="Z125" s="19"/>
      <c r="AA125" s="19"/>
      <c r="AB125" s="19"/>
      <c r="AC125" s="19"/>
      <c r="AD125" s="19"/>
      <c r="AE125" s="19"/>
      <c r="AF125" s="19"/>
      <c r="AG125" s="19"/>
      <c r="AH125" s="19"/>
      <c r="AI125" s="19"/>
      <c r="AJ125" s="19"/>
      <c r="AK125" s="19"/>
      <c r="AL125" s="19"/>
      <c r="AM125" s="19"/>
    </row>
    <row r="126" spans="1:129" s="16" customFormat="1" x14ac:dyDescent="0.2">
      <c r="A126" s="19"/>
      <c r="B126" s="19"/>
      <c r="C126" s="19"/>
      <c r="D126" s="19"/>
      <c r="E126" s="19"/>
      <c r="F126" s="19"/>
      <c r="G126" s="19"/>
      <c r="H126" s="19"/>
      <c r="I126" s="19"/>
      <c r="J126" s="19"/>
      <c r="K126" s="19"/>
      <c r="L126" s="19"/>
      <c r="M126" s="19"/>
      <c r="N126" s="212"/>
      <c r="O126"/>
      <c r="P126" s="19"/>
      <c r="Q126" s="19"/>
      <c r="R126" s="19"/>
      <c r="S126" s="19"/>
      <c r="T126" s="19"/>
      <c r="U126" s="19"/>
      <c r="V126" s="19"/>
      <c r="W126" s="19"/>
      <c r="X126" s="19"/>
      <c r="Y126" s="19"/>
      <c r="Z126" s="19"/>
      <c r="AA126" s="19"/>
      <c r="AB126" s="19"/>
      <c r="AC126" s="19"/>
      <c r="AD126" s="19"/>
      <c r="AE126" s="19"/>
      <c r="AF126" s="19"/>
      <c r="AG126" s="19"/>
      <c r="AH126" s="19"/>
      <c r="AI126" s="19"/>
      <c r="AJ126" s="19"/>
      <c r="AK126" s="19"/>
      <c r="AL126" s="19"/>
      <c r="AM126" s="19"/>
    </row>
    <row r="127" spans="1:129" s="16" customFormat="1" x14ac:dyDescent="0.2">
      <c r="A127" s="19"/>
      <c r="B127" s="19"/>
      <c r="C127" s="19"/>
      <c r="D127" s="19"/>
      <c r="E127" s="19"/>
      <c r="F127" s="19"/>
      <c r="G127" s="19"/>
      <c r="H127" s="19"/>
      <c r="I127" s="19"/>
      <c r="J127" s="19"/>
      <c r="K127" s="19"/>
      <c r="L127" s="19"/>
      <c r="M127" s="19"/>
      <c r="N127" s="212"/>
      <c r="O127"/>
      <c r="P127" s="19"/>
      <c r="Q127" s="19"/>
      <c r="R127" s="19"/>
      <c r="S127" s="19"/>
      <c r="T127" s="19"/>
      <c r="U127" s="19"/>
      <c r="V127" s="19"/>
      <c r="W127" s="19"/>
      <c r="X127" s="19"/>
      <c r="Y127" s="19"/>
      <c r="Z127" s="19"/>
      <c r="AA127" s="19"/>
      <c r="AB127" s="19"/>
      <c r="AC127" s="19"/>
      <c r="AD127" s="19"/>
      <c r="AE127" s="19"/>
      <c r="AF127" s="19"/>
      <c r="AG127" s="19"/>
      <c r="AH127" s="19"/>
      <c r="AI127" s="19"/>
      <c r="AJ127" s="19"/>
      <c r="AK127" s="19"/>
      <c r="AL127" s="19"/>
      <c r="AM127" s="19"/>
    </row>
    <row r="128" spans="1:129" s="16" customFormat="1" x14ac:dyDescent="0.2">
      <c r="A128" s="19"/>
      <c r="B128" s="19"/>
      <c r="C128" s="19"/>
      <c r="D128" s="19"/>
      <c r="E128" s="19"/>
      <c r="F128" s="19"/>
      <c r="G128" s="19"/>
      <c r="H128" s="19"/>
      <c r="I128" s="19"/>
      <c r="J128" s="19"/>
      <c r="K128" s="19"/>
      <c r="L128" s="19"/>
      <c r="M128" s="19"/>
      <c r="N128" s="212"/>
      <c r="O128"/>
      <c r="P128" s="19"/>
      <c r="Q128" s="19"/>
      <c r="R128" s="19"/>
      <c r="S128" s="19"/>
      <c r="T128" s="19"/>
      <c r="U128" s="19"/>
      <c r="V128" s="19"/>
      <c r="W128" s="19"/>
      <c r="X128" s="19"/>
      <c r="Y128" s="19"/>
      <c r="Z128" s="19"/>
      <c r="AA128" s="19"/>
      <c r="AB128" s="19"/>
      <c r="AC128" s="19"/>
      <c r="AD128" s="19"/>
      <c r="AE128" s="19"/>
      <c r="AF128" s="19"/>
      <c r="AG128" s="19"/>
      <c r="AH128" s="19"/>
      <c r="AI128" s="19"/>
      <c r="AJ128" s="19"/>
      <c r="AK128" s="19"/>
      <c r="AL128" s="19"/>
      <c r="AM128" s="19"/>
    </row>
    <row r="129" spans="1:39" s="16" customFormat="1" x14ac:dyDescent="0.2">
      <c r="A129" s="19"/>
      <c r="B129" s="19"/>
      <c r="C129" s="19"/>
      <c r="D129" s="19"/>
      <c r="E129" s="19"/>
      <c r="F129" s="19"/>
      <c r="G129" s="19"/>
      <c r="H129" s="19"/>
      <c r="I129" s="19"/>
      <c r="J129" s="19"/>
      <c r="K129" s="19"/>
      <c r="L129" s="19"/>
      <c r="M129" s="19"/>
      <c r="N129" s="212"/>
      <c r="O129"/>
      <c r="P129" s="19"/>
      <c r="Q129" s="19"/>
      <c r="R129" s="19"/>
      <c r="S129" s="19"/>
      <c r="T129" s="19"/>
      <c r="U129" s="19"/>
      <c r="V129" s="19"/>
      <c r="W129" s="19"/>
      <c r="X129" s="19"/>
      <c r="Y129" s="19"/>
      <c r="Z129" s="19"/>
      <c r="AA129" s="19"/>
      <c r="AB129" s="19"/>
      <c r="AC129" s="19"/>
      <c r="AD129" s="19"/>
      <c r="AE129" s="19"/>
      <c r="AF129" s="19"/>
      <c r="AG129" s="19"/>
      <c r="AH129" s="19"/>
      <c r="AI129" s="19"/>
      <c r="AJ129" s="19"/>
      <c r="AK129" s="19"/>
      <c r="AL129" s="19"/>
      <c r="AM129" s="19"/>
    </row>
    <row r="130" spans="1:39" s="16" customFormat="1" x14ac:dyDescent="0.2">
      <c r="A130" s="19"/>
      <c r="B130" s="19"/>
      <c r="C130" s="19"/>
      <c r="D130" s="19"/>
      <c r="E130" s="19"/>
      <c r="F130" s="19"/>
      <c r="G130" s="19"/>
      <c r="H130" s="19"/>
      <c r="I130" s="19"/>
      <c r="J130" s="19"/>
      <c r="K130" s="19"/>
      <c r="L130" s="19"/>
      <c r="M130" s="19"/>
      <c r="N130" s="212"/>
      <c r="O130"/>
      <c r="P130" s="19"/>
      <c r="Q130" s="19"/>
      <c r="R130" s="19"/>
      <c r="S130" s="19"/>
      <c r="T130" s="19"/>
      <c r="U130" s="19"/>
      <c r="V130" s="19"/>
      <c r="W130" s="19"/>
      <c r="X130" s="19"/>
      <c r="Y130" s="19"/>
      <c r="Z130" s="19"/>
      <c r="AA130" s="19"/>
      <c r="AB130" s="19"/>
      <c r="AC130" s="19"/>
      <c r="AD130" s="19"/>
      <c r="AE130" s="19"/>
      <c r="AF130" s="19"/>
      <c r="AG130" s="19"/>
      <c r="AH130" s="19"/>
      <c r="AI130" s="19"/>
      <c r="AJ130" s="19"/>
      <c r="AK130" s="19"/>
      <c r="AL130" s="19"/>
      <c r="AM130" s="19"/>
    </row>
    <row r="131" spans="1:39" s="16" customFormat="1" x14ac:dyDescent="0.2">
      <c r="A131" s="19"/>
      <c r="B131" s="19"/>
      <c r="C131" s="19"/>
      <c r="D131" s="19"/>
      <c r="E131" s="19"/>
      <c r="F131" s="19"/>
      <c r="G131" s="19"/>
      <c r="H131" s="19"/>
      <c r="I131" s="19"/>
      <c r="J131" s="19"/>
      <c r="K131" s="19"/>
      <c r="L131" s="19"/>
      <c r="M131" s="19"/>
      <c r="N131" s="212"/>
      <c r="O131"/>
      <c r="P131" s="19"/>
      <c r="Q131" s="19"/>
      <c r="R131" s="19"/>
      <c r="S131" s="19"/>
      <c r="T131" s="19"/>
      <c r="U131" s="19"/>
      <c r="V131" s="19"/>
      <c r="W131" s="19"/>
      <c r="X131" s="19"/>
      <c r="Y131" s="19"/>
      <c r="Z131" s="19"/>
      <c r="AA131" s="19"/>
      <c r="AB131" s="19"/>
      <c r="AC131" s="19"/>
      <c r="AD131" s="19"/>
      <c r="AE131" s="19"/>
      <c r="AF131" s="19"/>
      <c r="AG131" s="19"/>
      <c r="AH131" s="19"/>
      <c r="AI131" s="19"/>
      <c r="AJ131" s="19"/>
      <c r="AK131" s="19"/>
      <c r="AL131" s="19"/>
      <c r="AM131" s="19"/>
    </row>
    <row r="132" spans="1:39" s="16" customFormat="1" x14ac:dyDescent="0.2">
      <c r="A132" s="19"/>
      <c r="B132" s="19"/>
      <c r="C132" s="19"/>
      <c r="D132" s="19"/>
      <c r="E132" s="19"/>
      <c r="F132" s="19"/>
      <c r="G132" s="19"/>
      <c r="H132" s="19"/>
      <c r="I132" s="19"/>
      <c r="J132" s="19"/>
      <c r="K132" s="19"/>
      <c r="L132" s="19"/>
      <c r="M132" s="19"/>
      <c r="N132" s="212"/>
      <c r="O132"/>
      <c r="P132" s="19"/>
      <c r="Q132" s="19"/>
      <c r="R132" s="19"/>
      <c r="S132" s="19"/>
      <c r="T132" s="19"/>
      <c r="U132" s="19"/>
      <c r="V132" s="19"/>
      <c r="W132" s="19"/>
      <c r="X132" s="19"/>
      <c r="Y132" s="19"/>
      <c r="Z132" s="19"/>
      <c r="AA132" s="19"/>
      <c r="AB132" s="19"/>
      <c r="AC132" s="19"/>
      <c r="AD132" s="19"/>
      <c r="AE132" s="19"/>
      <c r="AF132" s="19"/>
      <c r="AG132" s="19"/>
      <c r="AH132" s="19"/>
      <c r="AI132" s="19"/>
      <c r="AJ132" s="19"/>
      <c r="AK132" s="19"/>
      <c r="AL132" s="19"/>
      <c r="AM132" s="19"/>
    </row>
    <row r="133" spans="1:39" s="16" customFormat="1" x14ac:dyDescent="0.2">
      <c r="A133" s="19"/>
      <c r="B133" s="19"/>
      <c r="C133" s="19"/>
      <c r="D133" s="19"/>
      <c r="E133" s="19"/>
      <c r="F133" s="19"/>
      <c r="G133" s="19"/>
      <c r="H133" s="19"/>
      <c r="I133" s="19"/>
      <c r="J133" s="19"/>
      <c r="K133" s="19"/>
      <c r="L133" s="19"/>
      <c r="M133" s="19"/>
      <c r="N133" s="212"/>
      <c r="O133"/>
      <c r="P133" s="19"/>
      <c r="Q133" s="19"/>
      <c r="R133" s="19"/>
      <c r="S133" s="19"/>
      <c r="T133" s="19"/>
      <c r="U133" s="19"/>
      <c r="V133" s="19"/>
      <c r="W133" s="19"/>
      <c r="X133" s="19"/>
      <c r="Y133" s="19"/>
      <c r="Z133" s="19"/>
      <c r="AA133" s="19"/>
      <c r="AB133" s="19"/>
      <c r="AC133" s="19"/>
      <c r="AD133" s="19"/>
      <c r="AE133" s="19"/>
      <c r="AF133" s="19"/>
      <c r="AG133" s="19"/>
      <c r="AH133" s="19"/>
      <c r="AI133" s="19"/>
      <c r="AJ133" s="19"/>
      <c r="AK133" s="19"/>
      <c r="AL133" s="19"/>
      <c r="AM133" s="19"/>
    </row>
    <row r="134" spans="1:39" s="16" customFormat="1" x14ac:dyDescent="0.2">
      <c r="A134" s="19"/>
      <c r="B134" s="19"/>
      <c r="C134" s="19"/>
      <c r="D134" s="19"/>
      <c r="E134" s="19"/>
      <c r="F134" s="19"/>
      <c r="G134" s="19"/>
      <c r="H134" s="19"/>
      <c r="I134" s="19"/>
      <c r="J134" s="19"/>
      <c r="K134" s="19"/>
      <c r="L134" s="19"/>
      <c r="M134" s="19"/>
      <c r="N134" s="212"/>
      <c r="O134"/>
      <c r="P134" s="19"/>
      <c r="Q134" s="19"/>
      <c r="R134" s="19"/>
      <c r="S134" s="19"/>
      <c r="T134" s="19"/>
      <c r="U134" s="19"/>
      <c r="V134" s="19"/>
      <c r="W134" s="19"/>
      <c r="X134" s="19"/>
      <c r="Y134" s="19"/>
      <c r="Z134" s="19"/>
      <c r="AA134" s="19"/>
      <c r="AB134" s="19"/>
      <c r="AC134" s="19"/>
      <c r="AD134" s="19"/>
      <c r="AE134" s="19"/>
      <c r="AF134" s="19"/>
      <c r="AG134" s="19"/>
      <c r="AH134" s="19"/>
      <c r="AI134" s="19"/>
      <c r="AJ134" s="19"/>
      <c r="AK134" s="19"/>
      <c r="AL134" s="19"/>
      <c r="AM134" s="19"/>
    </row>
    <row r="135" spans="1:39" s="16" customFormat="1" x14ac:dyDescent="0.2">
      <c r="A135" s="19"/>
      <c r="B135" s="19"/>
      <c r="C135" s="19"/>
      <c r="D135" s="19"/>
      <c r="E135" s="19"/>
      <c r="F135" s="19"/>
      <c r="G135" s="19"/>
      <c r="H135" s="19"/>
      <c r="I135" s="19"/>
      <c r="J135" s="19"/>
      <c r="K135" s="19"/>
      <c r="L135" s="19"/>
      <c r="M135" s="19"/>
      <c r="N135" s="212"/>
      <c r="O135"/>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row>
    <row r="136" spans="1:39" s="16" customFormat="1" x14ac:dyDescent="0.2">
      <c r="A136" s="19"/>
      <c r="B136" s="19"/>
      <c r="C136" s="19"/>
      <c r="D136" s="19"/>
      <c r="E136" s="19"/>
      <c r="F136" s="19"/>
      <c r="G136" s="19"/>
      <c r="H136" s="19"/>
      <c r="I136" s="19"/>
      <c r="J136" s="19"/>
      <c r="K136" s="19"/>
      <c r="L136" s="19"/>
      <c r="M136" s="19"/>
      <c r="N136" s="212"/>
      <c r="O136"/>
      <c r="P136" s="19"/>
      <c r="Q136" s="19"/>
      <c r="R136" s="19"/>
      <c r="S136" s="19"/>
      <c r="T136" s="19"/>
      <c r="U136" s="19"/>
      <c r="V136" s="19"/>
      <c r="W136" s="19"/>
      <c r="X136" s="19"/>
      <c r="Y136" s="19"/>
      <c r="Z136" s="19"/>
      <c r="AA136" s="19"/>
      <c r="AB136" s="19"/>
      <c r="AC136" s="19"/>
      <c r="AD136" s="19"/>
      <c r="AE136" s="19"/>
      <c r="AF136" s="19"/>
      <c r="AG136" s="19"/>
      <c r="AH136" s="19"/>
      <c r="AI136" s="19"/>
      <c r="AJ136" s="19"/>
      <c r="AK136" s="19"/>
      <c r="AL136" s="19"/>
      <c r="AM136" s="19"/>
    </row>
    <row r="137" spans="1:39" s="16" customFormat="1" x14ac:dyDescent="0.2">
      <c r="A137" s="19"/>
      <c r="B137" s="19"/>
      <c r="C137" s="19"/>
      <c r="D137" s="19"/>
      <c r="E137" s="19"/>
      <c r="F137" s="19"/>
      <c r="G137" s="19"/>
      <c r="H137" s="19"/>
      <c r="I137" s="19"/>
      <c r="J137" s="19"/>
      <c r="K137" s="19"/>
      <c r="L137" s="19"/>
      <c r="M137" s="19"/>
      <c r="N137" s="212"/>
      <c r="O137" s="212"/>
      <c r="P137" s="19"/>
      <c r="Q137" s="19"/>
      <c r="R137" s="19"/>
      <c r="S137" s="19"/>
      <c r="T137" s="19"/>
      <c r="U137" s="19"/>
      <c r="V137" s="19"/>
      <c r="W137" s="19"/>
      <c r="X137" s="19"/>
      <c r="Y137" s="19"/>
      <c r="Z137" s="19"/>
      <c r="AA137" s="19"/>
      <c r="AB137" s="19"/>
      <c r="AC137" s="19"/>
      <c r="AD137" s="19"/>
      <c r="AE137" s="19"/>
      <c r="AF137" s="19"/>
      <c r="AG137" s="19"/>
      <c r="AH137" s="19"/>
      <c r="AI137" s="19"/>
      <c r="AJ137" s="19"/>
      <c r="AK137" s="19"/>
      <c r="AL137" s="19"/>
      <c r="AM137" s="19"/>
    </row>
    <row r="138" spans="1:39" s="16" customFormat="1" x14ac:dyDescent="0.2">
      <c r="A138" s="19"/>
      <c r="B138" s="19"/>
      <c r="C138" s="19"/>
      <c r="D138" s="19"/>
      <c r="E138" s="19"/>
      <c r="F138" s="19"/>
      <c r="G138" s="19"/>
      <c r="H138" s="19"/>
      <c r="I138" s="19"/>
      <c r="J138" s="19"/>
      <c r="K138" s="19"/>
      <c r="L138" s="19"/>
      <c r="M138" s="19"/>
      <c r="N138" s="212"/>
      <c r="O138" s="212"/>
      <c r="P138" s="19"/>
      <c r="Q138" s="19"/>
      <c r="R138" s="19"/>
      <c r="S138" s="19"/>
      <c r="T138" s="19"/>
      <c r="U138" s="19"/>
      <c r="V138" s="19"/>
      <c r="W138" s="19"/>
      <c r="X138" s="19"/>
      <c r="Y138" s="19"/>
      <c r="Z138" s="19"/>
      <c r="AA138" s="19"/>
      <c r="AB138" s="19"/>
      <c r="AC138" s="19"/>
      <c r="AD138" s="19"/>
      <c r="AE138" s="19"/>
      <c r="AF138" s="19"/>
      <c r="AG138" s="19"/>
      <c r="AH138" s="19"/>
      <c r="AI138" s="19"/>
      <c r="AJ138" s="19"/>
      <c r="AK138" s="19"/>
      <c r="AL138" s="19"/>
      <c r="AM138" s="19"/>
    </row>
    <row r="139" spans="1:39" s="16" customFormat="1" x14ac:dyDescent="0.2">
      <c r="A139" s="19"/>
      <c r="B139" s="19"/>
      <c r="C139" s="19"/>
      <c r="D139" s="19"/>
      <c r="E139" s="19"/>
      <c r="F139" s="19"/>
      <c r="G139" s="19"/>
      <c r="H139" s="19"/>
      <c r="I139" s="19"/>
      <c r="J139" s="19"/>
      <c r="K139" s="19"/>
      <c r="L139" s="19"/>
      <c r="M139" s="19"/>
      <c r="N139" s="212"/>
      <c r="O139" s="212"/>
      <c r="P139" s="19"/>
      <c r="Q139" s="19"/>
      <c r="R139" s="19"/>
      <c r="S139" s="19"/>
      <c r="T139" s="19"/>
      <c r="U139" s="19"/>
      <c r="V139" s="19"/>
      <c r="W139" s="19"/>
      <c r="X139" s="19"/>
      <c r="Y139" s="19"/>
      <c r="Z139" s="19"/>
      <c r="AA139" s="19"/>
      <c r="AB139" s="19"/>
      <c r="AC139" s="19"/>
      <c r="AD139" s="19"/>
      <c r="AE139" s="19"/>
      <c r="AF139" s="19"/>
      <c r="AG139" s="19"/>
      <c r="AH139" s="19"/>
      <c r="AI139" s="19"/>
      <c r="AJ139" s="19"/>
      <c r="AK139" s="19"/>
      <c r="AL139" s="19"/>
      <c r="AM139" s="19"/>
    </row>
    <row r="140" spans="1:39" s="16" customFormat="1" x14ac:dyDescent="0.2">
      <c r="A140" s="19"/>
      <c r="B140" s="19"/>
      <c r="C140" s="19"/>
      <c r="D140" s="19"/>
      <c r="E140" s="19"/>
      <c r="F140" s="19"/>
      <c r="G140" s="19"/>
      <c r="H140" s="19"/>
      <c r="I140" s="19"/>
      <c r="J140" s="19"/>
      <c r="K140" s="19"/>
      <c r="L140" s="19"/>
      <c r="M140" s="19"/>
      <c r="N140" s="212"/>
      <c r="O140" s="212"/>
      <c r="P140" s="19"/>
      <c r="Q140" s="19"/>
      <c r="R140" s="19"/>
      <c r="S140" s="19"/>
      <c r="T140" s="19"/>
      <c r="U140" s="19"/>
      <c r="V140" s="19"/>
      <c r="W140" s="19"/>
      <c r="X140" s="19"/>
      <c r="Y140" s="19"/>
      <c r="Z140" s="19"/>
      <c r="AA140" s="19"/>
      <c r="AB140" s="19"/>
      <c r="AC140" s="19"/>
      <c r="AD140" s="19"/>
      <c r="AE140" s="19"/>
      <c r="AF140" s="19"/>
      <c r="AG140" s="19"/>
      <c r="AH140" s="19"/>
      <c r="AI140" s="19"/>
      <c r="AJ140" s="19"/>
      <c r="AK140" s="19"/>
      <c r="AL140" s="19"/>
      <c r="AM140" s="19"/>
    </row>
    <row r="141" spans="1:39" s="16" customFormat="1" x14ac:dyDescent="0.2">
      <c r="A141" s="19"/>
      <c r="B141" s="19"/>
      <c r="C141" s="19"/>
      <c r="D141" s="19"/>
      <c r="E141" s="19"/>
      <c r="F141" s="19"/>
      <c r="G141" s="19"/>
      <c r="H141" s="19"/>
      <c r="I141" s="19"/>
      <c r="J141" s="19"/>
      <c r="K141" s="19"/>
      <c r="L141" s="19"/>
      <c r="M141" s="19"/>
      <c r="N141" s="212"/>
      <c r="O141" s="212"/>
      <c r="P141" s="19"/>
      <c r="Q141" s="19"/>
      <c r="R141" s="19"/>
      <c r="S141" s="19"/>
      <c r="T141" s="19"/>
      <c r="U141" s="19"/>
      <c r="V141" s="19"/>
      <c r="W141" s="19"/>
      <c r="X141" s="19"/>
      <c r="Y141" s="19"/>
      <c r="Z141" s="19"/>
      <c r="AA141" s="19"/>
      <c r="AB141" s="19"/>
      <c r="AC141" s="19"/>
      <c r="AD141" s="19"/>
      <c r="AE141" s="19"/>
      <c r="AF141" s="19"/>
      <c r="AG141" s="19"/>
      <c r="AH141" s="19"/>
      <c r="AI141" s="19"/>
      <c r="AJ141" s="19"/>
      <c r="AK141" s="19"/>
      <c r="AL141" s="19"/>
      <c r="AM141" s="19"/>
    </row>
    <row r="142" spans="1:39" s="16" customFormat="1" x14ac:dyDescent="0.2">
      <c r="A142" s="19"/>
      <c r="B142" s="19"/>
      <c r="C142" s="19"/>
      <c r="D142" s="19"/>
      <c r="E142" s="19"/>
      <c r="F142" s="19"/>
      <c r="G142" s="19"/>
      <c r="H142" s="19"/>
      <c r="I142" s="19"/>
      <c r="J142" s="19"/>
      <c r="K142" s="19"/>
      <c r="L142" s="19"/>
      <c r="M142" s="19"/>
      <c r="N142" s="212"/>
      <c r="O142" s="212"/>
      <c r="P142" s="19"/>
      <c r="Q142" s="19"/>
      <c r="R142" s="19"/>
      <c r="S142" s="19"/>
      <c r="T142" s="19"/>
      <c r="U142" s="19"/>
      <c r="V142" s="19"/>
      <c r="W142" s="19"/>
      <c r="X142" s="19"/>
      <c r="Y142" s="19"/>
      <c r="Z142" s="19"/>
      <c r="AA142" s="19"/>
      <c r="AB142" s="19"/>
      <c r="AC142" s="19"/>
      <c r="AD142" s="19"/>
      <c r="AE142" s="19"/>
      <c r="AF142" s="19"/>
      <c r="AG142" s="19"/>
      <c r="AH142" s="19"/>
      <c r="AI142" s="19"/>
      <c r="AJ142" s="19"/>
      <c r="AK142" s="19"/>
      <c r="AL142" s="19"/>
      <c r="AM142" s="19"/>
    </row>
    <row r="143" spans="1:39" s="16" customFormat="1" x14ac:dyDescent="0.2">
      <c r="A143" s="19"/>
      <c r="B143" s="19"/>
      <c r="C143" s="19"/>
      <c r="D143" s="19"/>
      <c r="E143" s="19"/>
      <c r="F143" s="19"/>
      <c r="G143" s="19"/>
      <c r="H143" s="19"/>
      <c r="I143" s="19"/>
      <c r="J143" s="19"/>
      <c r="K143" s="19"/>
      <c r="L143" s="19"/>
      <c r="M143" s="19"/>
      <c r="N143" s="212"/>
      <c r="O143" s="212"/>
      <c r="P143" s="19"/>
      <c r="Q143" s="19"/>
      <c r="R143" s="19"/>
      <c r="S143" s="19"/>
      <c r="T143" s="19"/>
      <c r="U143" s="19"/>
      <c r="V143" s="19"/>
      <c r="W143" s="19"/>
      <c r="X143" s="19"/>
      <c r="Y143" s="19"/>
      <c r="Z143" s="19"/>
      <c r="AA143" s="19"/>
      <c r="AB143" s="19"/>
      <c r="AC143" s="19"/>
      <c r="AD143" s="19"/>
      <c r="AE143" s="19"/>
      <c r="AF143" s="19"/>
      <c r="AG143" s="19"/>
      <c r="AH143" s="19"/>
      <c r="AI143" s="19"/>
      <c r="AJ143" s="19"/>
      <c r="AK143" s="19"/>
      <c r="AL143" s="19"/>
      <c r="AM143" s="19"/>
    </row>
    <row r="144" spans="1:39" s="16" customFormat="1" x14ac:dyDescent="0.2">
      <c r="A144" s="19"/>
      <c r="B144" s="19"/>
      <c r="C144" s="19"/>
      <c r="D144" s="19"/>
      <c r="E144" s="19"/>
      <c r="F144" s="19"/>
      <c r="G144" s="19"/>
      <c r="H144" s="19"/>
      <c r="I144" s="19"/>
      <c r="J144" s="19"/>
      <c r="K144" s="19"/>
      <c r="L144" s="19"/>
      <c r="M144" s="19"/>
      <c r="N144" s="212"/>
      <c r="O144" s="212"/>
      <c r="P144" s="19"/>
      <c r="Q144" s="19"/>
      <c r="R144" s="19"/>
      <c r="S144" s="19"/>
      <c r="T144" s="19"/>
      <c r="U144" s="19"/>
      <c r="V144" s="19"/>
      <c r="W144" s="19"/>
      <c r="X144" s="19"/>
      <c r="Y144" s="19"/>
      <c r="Z144" s="19"/>
      <c r="AA144" s="19"/>
      <c r="AB144" s="19"/>
      <c r="AC144" s="19"/>
      <c r="AD144" s="19"/>
      <c r="AE144" s="19"/>
      <c r="AF144" s="19"/>
      <c r="AG144" s="19"/>
      <c r="AH144" s="19"/>
      <c r="AI144" s="19"/>
      <c r="AJ144" s="19"/>
      <c r="AK144" s="19"/>
      <c r="AL144" s="19"/>
      <c r="AM144" s="19"/>
    </row>
    <row r="145" spans="1:39" s="16" customFormat="1" x14ac:dyDescent="0.2">
      <c r="A145" s="19"/>
      <c r="B145" s="19"/>
      <c r="C145" s="19"/>
      <c r="D145" s="19"/>
      <c r="E145" s="19"/>
      <c r="F145" s="19"/>
      <c r="G145" s="19"/>
      <c r="H145" s="19"/>
      <c r="I145" s="19"/>
      <c r="J145" s="19"/>
      <c r="K145" s="19"/>
      <c r="L145" s="19"/>
      <c r="M145" s="19"/>
      <c r="N145" s="212"/>
      <c r="O145" s="212"/>
      <c r="P145" s="19"/>
      <c r="Q145" s="19"/>
      <c r="R145" s="19"/>
      <c r="S145" s="19"/>
      <c r="T145" s="19"/>
      <c r="U145" s="19"/>
      <c r="V145" s="19"/>
      <c r="W145" s="19"/>
      <c r="X145" s="19"/>
      <c r="Y145" s="19"/>
      <c r="Z145" s="19"/>
      <c r="AA145" s="19"/>
      <c r="AB145" s="19"/>
      <c r="AC145" s="19"/>
      <c r="AD145" s="19"/>
      <c r="AE145" s="19"/>
      <c r="AF145" s="19"/>
      <c r="AG145" s="19"/>
      <c r="AH145" s="19"/>
      <c r="AI145" s="19"/>
      <c r="AJ145" s="19"/>
      <c r="AK145" s="19"/>
      <c r="AL145" s="19"/>
      <c r="AM145" s="19"/>
    </row>
    <row r="146" spans="1:39" s="16" customFormat="1" x14ac:dyDescent="0.2">
      <c r="A146" s="19"/>
      <c r="B146" s="19"/>
      <c r="C146" s="19"/>
      <c r="D146" s="19"/>
      <c r="E146" s="19"/>
      <c r="F146" s="19"/>
      <c r="G146" s="19"/>
      <c r="H146" s="19"/>
      <c r="I146" s="19"/>
      <c r="J146" s="19"/>
      <c r="K146" s="19"/>
      <c r="L146" s="19"/>
      <c r="M146" s="19"/>
      <c r="N146" s="212"/>
      <c r="O146" s="212"/>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row>
    <row r="147" spans="1:39" s="16" customFormat="1" x14ac:dyDescent="0.2">
      <c r="A147" s="19"/>
      <c r="B147" s="19"/>
      <c r="C147" s="19"/>
      <c r="D147" s="19"/>
      <c r="E147" s="19"/>
      <c r="F147" s="19"/>
      <c r="G147" s="19"/>
      <c r="H147" s="19"/>
      <c r="I147" s="19"/>
      <c r="J147" s="19"/>
      <c r="K147" s="19"/>
      <c r="L147" s="19"/>
      <c r="M147" s="19"/>
      <c r="N147" s="212"/>
      <c r="O147" s="212"/>
      <c r="P147" s="19"/>
      <c r="Q147" s="19"/>
      <c r="R147" s="19"/>
      <c r="S147" s="19"/>
      <c r="T147" s="19"/>
      <c r="U147" s="19"/>
      <c r="V147" s="19"/>
      <c r="W147" s="19"/>
      <c r="X147" s="19"/>
      <c r="Y147" s="19"/>
      <c r="Z147" s="19"/>
      <c r="AA147" s="19"/>
      <c r="AB147" s="19"/>
      <c r="AC147" s="19"/>
      <c r="AD147" s="19"/>
      <c r="AE147" s="19"/>
      <c r="AF147" s="19"/>
      <c r="AG147" s="19"/>
      <c r="AH147" s="19"/>
      <c r="AI147" s="19"/>
      <c r="AJ147" s="19"/>
      <c r="AK147" s="19"/>
      <c r="AL147" s="19"/>
      <c r="AM147" s="19"/>
    </row>
    <row r="148" spans="1:39" s="16" customFormat="1" x14ac:dyDescent="0.2">
      <c r="A148" s="19"/>
      <c r="B148" s="19"/>
      <c r="C148" s="19"/>
      <c r="D148" s="19"/>
      <c r="E148" s="19"/>
      <c r="F148" s="19"/>
      <c r="G148" s="19"/>
      <c r="H148" s="19"/>
      <c r="I148" s="19"/>
      <c r="J148" s="19"/>
      <c r="K148" s="19"/>
      <c r="L148" s="19"/>
      <c r="M148" s="19"/>
      <c r="N148" s="212"/>
      <c r="O148" s="212"/>
      <c r="P148" s="19"/>
      <c r="Q148" s="19"/>
      <c r="R148" s="19"/>
      <c r="S148" s="19"/>
      <c r="T148" s="19"/>
      <c r="U148" s="19"/>
      <c r="V148" s="19"/>
      <c r="W148" s="19"/>
      <c r="X148" s="19"/>
      <c r="Y148" s="19"/>
      <c r="Z148" s="19"/>
      <c r="AA148" s="19"/>
      <c r="AB148" s="19"/>
      <c r="AC148" s="19"/>
      <c r="AD148" s="19"/>
      <c r="AE148" s="19"/>
      <c r="AF148" s="19"/>
      <c r="AG148" s="19"/>
      <c r="AH148" s="19"/>
      <c r="AI148" s="19"/>
      <c r="AJ148" s="19"/>
      <c r="AK148" s="19"/>
      <c r="AL148" s="19"/>
      <c r="AM148" s="19"/>
    </row>
    <row r="149" spans="1:39" s="16" customFormat="1" x14ac:dyDescent="0.2">
      <c r="A149" s="19"/>
      <c r="B149" s="19"/>
      <c r="C149" s="19"/>
      <c r="D149" s="19"/>
      <c r="E149" s="19"/>
      <c r="F149" s="19"/>
      <c r="G149" s="19"/>
      <c r="H149" s="19"/>
      <c r="I149" s="19"/>
      <c r="J149" s="19"/>
      <c r="K149" s="19"/>
      <c r="L149" s="19"/>
      <c r="M149" s="19"/>
      <c r="N149" s="212"/>
      <c r="O149" s="212"/>
      <c r="P149" s="19"/>
      <c r="Q149" s="19"/>
      <c r="R149" s="19"/>
      <c r="S149" s="19"/>
      <c r="T149" s="19"/>
      <c r="U149" s="19"/>
      <c r="V149" s="19"/>
      <c r="W149" s="19"/>
      <c r="X149" s="19"/>
      <c r="Y149" s="19"/>
      <c r="Z149" s="19"/>
      <c r="AA149" s="19"/>
      <c r="AB149" s="19"/>
      <c r="AC149" s="19"/>
      <c r="AD149" s="19"/>
      <c r="AE149" s="19"/>
      <c r="AF149" s="19"/>
      <c r="AG149" s="19"/>
      <c r="AH149" s="19"/>
      <c r="AI149" s="19"/>
      <c r="AJ149" s="19"/>
      <c r="AK149" s="19"/>
      <c r="AL149" s="19"/>
      <c r="AM149" s="19"/>
    </row>
    <row r="150" spans="1:39" s="16" customFormat="1" x14ac:dyDescent="0.2">
      <c r="A150" s="19"/>
      <c r="B150" s="19"/>
      <c r="C150" s="19"/>
      <c r="D150" s="19"/>
      <c r="E150" s="19"/>
      <c r="F150" s="19"/>
      <c r="G150" s="19"/>
      <c r="H150" s="19"/>
      <c r="I150" s="19"/>
      <c r="J150" s="19"/>
      <c r="K150" s="19"/>
      <c r="L150" s="19"/>
      <c r="M150" s="19"/>
      <c r="N150" s="212"/>
      <c r="O150" s="212"/>
      <c r="P150" s="19"/>
      <c r="Q150" s="19"/>
      <c r="R150" s="19"/>
      <c r="S150" s="19"/>
      <c r="T150" s="19"/>
      <c r="U150" s="19"/>
      <c r="V150" s="19"/>
      <c r="W150" s="19"/>
      <c r="X150" s="19"/>
      <c r="Y150" s="19"/>
      <c r="Z150" s="19"/>
      <c r="AA150" s="19"/>
      <c r="AB150" s="19"/>
      <c r="AC150" s="19"/>
      <c r="AD150" s="19"/>
      <c r="AE150" s="19"/>
      <c r="AF150" s="19"/>
      <c r="AG150" s="19"/>
      <c r="AH150" s="19"/>
      <c r="AI150" s="19"/>
      <c r="AJ150" s="19"/>
      <c r="AK150" s="19"/>
      <c r="AL150" s="19"/>
      <c r="AM150" s="19"/>
    </row>
    <row r="151" spans="1:39" s="16" customFormat="1" x14ac:dyDescent="0.2">
      <c r="A151" s="19"/>
      <c r="B151" s="19"/>
      <c r="C151" s="19"/>
      <c r="D151" s="19"/>
      <c r="E151" s="19"/>
      <c r="F151" s="19"/>
      <c r="G151" s="19"/>
      <c r="H151" s="19"/>
      <c r="I151" s="19"/>
      <c r="J151" s="19"/>
      <c r="K151" s="19"/>
      <c r="L151" s="19"/>
      <c r="M151" s="19"/>
      <c r="N151" s="212"/>
      <c r="O151" s="212"/>
      <c r="P151" s="19"/>
      <c r="Q151" s="19"/>
      <c r="R151" s="19"/>
      <c r="S151" s="19"/>
      <c r="T151" s="19"/>
      <c r="U151" s="19"/>
      <c r="V151" s="19"/>
      <c r="W151" s="19"/>
      <c r="X151" s="19"/>
      <c r="Y151" s="19"/>
      <c r="Z151" s="19"/>
      <c r="AA151" s="19"/>
      <c r="AB151" s="19"/>
      <c r="AC151" s="19"/>
      <c r="AD151" s="19"/>
      <c r="AE151" s="19"/>
      <c r="AF151" s="19"/>
      <c r="AG151" s="19"/>
      <c r="AH151" s="19"/>
      <c r="AI151" s="19"/>
      <c r="AJ151" s="19"/>
      <c r="AK151" s="19"/>
      <c r="AL151" s="19"/>
      <c r="AM151" s="19"/>
    </row>
    <row r="152" spans="1:39" s="16" customFormat="1" x14ac:dyDescent="0.2">
      <c r="A152" s="19"/>
      <c r="B152" s="19"/>
      <c r="C152" s="19"/>
      <c r="D152" s="19"/>
      <c r="E152" s="19"/>
      <c r="F152" s="19"/>
      <c r="G152" s="19"/>
      <c r="H152" s="19"/>
      <c r="I152" s="19"/>
      <c r="J152" s="19"/>
      <c r="K152" s="19"/>
      <c r="L152" s="19"/>
      <c r="M152" s="19"/>
      <c r="N152" s="212"/>
      <c r="O152" s="212"/>
      <c r="P152" s="19"/>
      <c r="Q152" s="19"/>
      <c r="R152" s="19"/>
      <c r="S152" s="19"/>
      <c r="T152" s="19"/>
      <c r="U152" s="19"/>
      <c r="V152" s="19"/>
      <c r="W152" s="19"/>
      <c r="X152" s="19"/>
      <c r="Y152" s="19"/>
      <c r="Z152" s="19"/>
      <c r="AA152" s="19"/>
      <c r="AB152" s="19"/>
      <c r="AC152" s="19"/>
      <c r="AD152" s="19"/>
      <c r="AE152" s="19"/>
      <c r="AF152" s="19"/>
      <c r="AG152" s="19"/>
      <c r="AH152" s="19"/>
      <c r="AI152" s="19"/>
      <c r="AJ152" s="19"/>
      <c r="AK152" s="19"/>
      <c r="AL152" s="19"/>
      <c r="AM152" s="19"/>
    </row>
    <row r="153" spans="1:39" s="16" customFormat="1" x14ac:dyDescent="0.2">
      <c r="A153" s="19"/>
      <c r="B153" s="19"/>
      <c r="C153" s="19"/>
      <c r="D153" s="19"/>
      <c r="E153" s="19"/>
      <c r="F153" s="19"/>
      <c r="G153" s="19"/>
      <c r="H153" s="19"/>
      <c r="I153" s="19"/>
      <c r="J153" s="19"/>
      <c r="K153" s="19"/>
      <c r="L153" s="19"/>
      <c r="M153" s="19"/>
      <c r="N153" s="212"/>
      <c r="O153" s="212"/>
      <c r="P153" s="19"/>
      <c r="Q153" s="19"/>
      <c r="R153" s="19"/>
      <c r="S153" s="19"/>
      <c r="T153" s="19"/>
      <c r="U153" s="19"/>
      <c r="V153" s="19"/>
      <c r="W153" s="19"/>
      <c r="X153" s="19"/>
      <c r="Y153" s="19"/>
      <c r="Z153" s="19"/>
      <c r="AA153" s="19"/>
      <c r="AB153" s="19"/>
      <c r="AC153" s="19"/>
      <c r="AD153" s="19"/>
      <c r="AE153" s="19"/>
      <c r="AF153" s="19"/>
      <c r="AG153" s="19"/>
      <c r="AH153" s="19"/>
      <c r="AI153" s="19"/>
      <c r="AJ153" s="19"/>
      <c r="AK153" s="19"/>
      <c r="AL153" s="19"/>
      <c r="AM153" s="19"/>
    </row>
    <row r="154" spans="1:39" s="16" customFormat="1" x14ac:dyDescent="0.2">
      <c r="A154" s="19"/>
      <c r="B154" s="19"/>
      <c r="C154" s="19"/>
      <c r="D154" s="19"/>
      <c r="E154" s="19"/>
      <c r="F154" s="19"/>
      <c r="G154" s="19"/>
      <c r="H154" s="19"/>
      <c r="I154" s="19"/>
      <c r="J154" s="19"/>
      <c r="K154" s="19"/>
      <c r="L154" s="19"/>
      <c r="M154" s="19"/>
      <c r="N154" s="212"/>
      <c r="O154" s="212"/>
      <c r="P154" s="19"/>
      <c r="Q154" s="19"/>
      <c r="R154" s="19"/>
      <c r="S154" s="19"/>
      <c r="T154" s="19"/>
      <c r="U154" s="19"/>
      <c r="V154" s="19"/>
      <c r="W154" s="19"/>
      <c r="X154" s="19"/>
      <c r="Y154" s="19"/>
      <c r="Z154" s="19"/>
      <c r="AA154" s="19"/>
      <c r="AB154" s="19"/>
      <c r="AC154" s="19"/>
      <c r="AD154" s="19"/>
      <c r="AE154" s="19"/>
      <c r="AF154" s="19"/>
      <c r="AG154" s="19"/>
      <c r="AH154" s="19"/>
      <c r="AI154" s="19"/>
      <c r="AJ154" s="19"/>
      <c r="AK154" s="19"/>
      <c r="AL154" s="19"/>
      <c r="AM154" s="19"/>
    </row>
    <row r="155" spans="1:39" s="16" customFormat="1" x14ac:dyDescent="0.2">
      <c r="A155" s="19"/>
      <c r="B155" s="19"/>
      <c r="C155" s="19"/>
      <c r="D155" s="19"/>
      <c r="E155" s="19"/>
      <c r="F155" s="19"/>
      <c r="G155" s="19"/>
      <c r="H155" s="19"/>
      <c r="I155" s="19"/>
      <c r="J155" s="19"/>
      <c r="K155" s="19"/>
      <c r="L155" s="19"/>
      <c r="M155" s="19"/>
      <c r="N155" s="212"/>
      <c r="O155" s="212"/>
      <c r="P155" s="19"/>
      <c r="Q155" s="19"/>
      <c r="R155" s="19"/>
      <c r="S155" s="19"/>
      <c r="T155" s="19"/>
      <c r="U155" s="19"/>
      <c r="V155" s="19"/>
      <c r="W155" s="19"/>
      <c r="X155" s="19"/>
      <c r="Y155" s="19"/>
      <c r="Z155" s="19"/>
      <c r="AA155" s="19"/>
      <c r="AB155" s="19"/>
      <c r="AC155" s="19"/>
      <c r="AD155" s="19"/>
      <c r="AE155" s="19"/>
      <c r="AF155" s="19"/>
      <c r="AG155" s="19"/>
      <c r="AH155" s="19"/>
      <c r="AI155" s="19"/>
      <c r="AJ155" s="19"/>
      <c r="AK155" s="19"/>
      <c r="AL155" s="19"/>
      <c r="AM155" s="19"/>
    </row>
    <row r="156" spans="1:39" s="16" customFormat="1" x14ac:dyDescent="0.2">
      <c r="A156" s="19"/>
      <c r="B156" s="19"/>
      <c r="C156" s="19"/>
      <c r="D156" s="19"/>
      <c r="E156" s="19"/>
      <c r="F156" s="19"/>
      <c r="G156" s="19"/>
      <c r="H156" s="19"/>
      <c r="I156" s="19"/>
      <c r="J156" s="19"/>
      <c r="K156" s="19"/>
      <c r="L156" s="19"/>
      <c r="M156" s="19"/>
      <c r="N156" s="212"/>
      <c r="O156" s="212"/>
      <c r="P156" s="19"/>
      <c r="Q156" s="19"/>
      <c r="R156" s="19"/>
      <c r="S156" s="19"/>
      <c r="T156" s="19"/>
      <c r="U156" s="19"/>
      <c r="V156" s="19"/>
      <c r="W156" s="19"/>
      <c r="X156" s="19"/>
      <c r="Y156" s="19"/>
      <c r="Z156" s="19"/>
      <c r="AA156" s="19"/>
      <c r="AB156" s="19"/>
      <c r="AC156" s="19"/>
      <c r="AD156" s="19"/>
      <c r="AE156" s="19"/>
      <c r="AF156" s="19"/>
      <c r="AG156" s="19"/>
      <c r="AH156" s="19"/>
      <c r="AI156" s="19"/>
      <c r="AJ156" s="19"/>
      <c r="AK156" s="19"/>
      <c r="AL156" s="19"/>
      <c r="AM156" s="19"/>
    </row>
    <row r="157" spans="1:39" s="16" customFormat="1" x14ac:dyDescent="0.2">
      <c r="A157" s="19"/>
      <c r="B157" s="19"/>
      <c r="C157" s="19"/>
      <c r="D157" s="19"/>
      <c r="E157" s="19"/>
      <c r="F157" s="19"/>
      <c r="G157" s="19"/>
      <c r="H157" s="19"/>
      <c r="I157" s="19"/>
      <c r="J157" s="19"/>
      <c r="K157" s="19"/>
      <c r="L157" s="19"/>
      <c r="M157" s="19"/>
      <c r="N157" s="212"/>
      <c r="O157" s="212"/>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row>
    <row r="158" spans="1:39" s="16" customFormat="1" x14ac:dyDescent="0.2">
      <c r="A158" s="19"/>
      <c r="B158" s="19"/>
      <c r="C158" s="19"/>
      <c r="D158" s="19"/>
      <c r="E158" s="19"/>
      <c r="F158" s="19"/>
      <c r="G158" s="19"/>
      <c r="H158" s="19"/>
      <c r="I158" s="19"/>
      <c r="J158" s="19"/>
      <c r="K158" s="19"/>
      <c r="L158" s="19"/>
      <c r="M158" s="19"/>
      <c r="N158" s="212"/>
      <c r="O158" s="212"/>
      <c r="P158" s="19"/>
      <c r="Q158" s="19"/>
      <c r="R158" s="19"/>
      <c r="S158" s="19"/>
      <c r="T158" s="19"/>
      <c r="U158" s="19"/>
      <c r="V158" s="19"/>
      <c r="W158" s="19"/>
      <c r="X158" s="19"/>
      <c r="Y158" s="19"/>
      <c r="Z158" s="19"/>
      <c r="AA158" s="19"/>
      <c r="AB158" s="19"/>
      <c r="AC158" s="19"/>
      <c r="AD158" s="19"/>
      <c r="AE158" s="19"/>
      <c r="AF158" s="19"/>
      <c r="AG158" s="19"/>
      <c r="AH158" s="19"/>
      <c r="AI158" s="19"/>
      <c r="AJ158" s="19"/>
      <c r="AK158" s="19"/>
      <c r="AL158" s="19"/>
      <c r="AM158" s="19"/>
    </row>
    <row r="159" spans="1:39" s="16" customFormat="1" x14ac:dyDescent="0.2">
      <c r="A159" s="19"/>
      <c r="B159" s="19"/>
      <c r="C159" s="19"/>
      <c r="D159" s="19"/>
      <c r="E159" s="19"/>
      <c r="F159" s="19"/>
      <c r="G159" s="19"/>
      <c r="H159" s="19"/>
      <c r="I159" s="19"/>
      <c r="J159" s="19"/>
      <c r="K159" s="19"/>
      <c r="L159" s="19"/>
      <c r="M159" s="19"/>
      <c r="N159" s="212"/>
      <c r="O159" s="212"/>
      <c r="P159" s="19"/>
      <c r="Q159" s="19"/>
      <c r="R159" s="19"/>
      <c r="S159" s="19"/>
      <c r="T159" s="19"/>
      <c r="U159" s="19"/>
      <c r="V159" s="19"/>
      <c r="W159" s="19"/>
      <c r="X159" s="19"/>
      <c r="Y159" s="19"/>
      <c r="Z159" s="19"/>
      <c r="AA159" s="19"/>
      <c r="AB159" s="19"/>
      <c r="AC159" s="19"/>
      <c r="AD159" s="19"/>
      <c r="AE159" s="19"/>
      <c r="AF159" s="19"/>
      <c r="AG159" s="19"/>
      <c r="AH159" s="19"/>
      <c r="AI159" s="19"/>
      <c r="AJ159" s="19"/>
      <c r="AK159" s="19"/>
      <c r="AL159" s="19"/>
      <c r="AM159" s="19"/>
    </row>
    <row r="160" spans="1:39" s="16" customFormat="1" x14ac:dyDescent="0.2">
      <c r="A160" s="19"/>
      <c r="B160" s="19"/>
      <c r="C160" s="19"/>
      <c r="D160" s="19"/>
      <c r="E160" s="19"/>
      <c r="F160" s="19"/>
      <c r="G160" s="19"/>
      <c r="H160" s="19"/>
      <c r="I160" s="19"/>
      <c r="J160" s="19"/>
      <c r="K160" s="19"/>
      <c r="L160" s="19"/>
      <c r="M160" s="19"/>
      <c r="N160" s="212"/>
      <c r="O160" s="212"/>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row>
    <row r="161" spans="1:39" s="16" customFormat="1" x14ac:dyDescent="0.2">
      <c r="A161" s="19"/>
      <c r="B161" s="19"/>
      <c r="C161" s="19"/>
      <c r="D161" s="19"/>
      <c r="E161" s="19"/>
      <c r="F161" s="19"/>
      <c r="G161" s="19"/>
      <c r="H161" s="19"/>
      <c r="I161" s="19"/>
      <c r="J161" s="19"/>
      <c r="K161" s="19"/>
      <c r="L161" s="19"/>
      <c r="M161" s="19"/>
      <c r="N161" s="212"/>
      <c r="O161" s="212"/>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row>
    <row r="162" spans="1:39" s="16" customFormat="1" x14ac:dyDescent="0.2">
      <c r="A162" s="19"/>
      <c r="B162" s="19"/>
      <c r="C162" s="19"/>
      <c r="D162" s="19"/>
      <c r="E162" s="19"/>
      <c r="F162" s="19"/>
      <c r="G162" s="19"/>
      <c r="H162" s="19"/>
      <c r="I162" s="19"/>
      <c r="J162" s="19"/>
      <c r="K162" s="19"/>
      <c r="L162" s="19"/>
      <c r="M162" s="19"/>
      <c r="N162" s="212"/>
      <c r="O162" s="212"/>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row>
    <row r="163" spans="1:39" s="16" customFormat="1" x14ac:dyDescent="0.2">
      <c r="A163" s="19"/>
      <c r="B163" s="19"/>
      <c r="C163" s="19"/>
      <c r="D163" s="19"/>
      <c r="E163" s="19"/>
      <c r="F163" s="19"/>
      <c r="G163" s="19"/>
      <c r="H163" s="19"/>
      <c r="I163" s="19"/>
      <c r="J163" s="19"/>
      <c r="K163" s="19"/>
      <c r="L163" s="19"/>
      <c r="M163" s="19"/>
      <c r="N163" s="212"/>
      <c r="O163" s="212"/>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row>
    <row r="164" spans="1:39" s="16" customFormat="1" x14ac:dyDescent="0.2">
      <c r="A164" s="19"/>
      <c r="B164" s="19"/>
      <c r="C164" s="19"/>
      <c r="D164" s="19"/>
      <c r="E164" s="19"/>
      <c r="F164" s="19"/>
      <c r="G164" s="19"/>
      <c r="H164" s="19"/>
      <c r="I164" s="19"/>
      <c r="J164" s="19"/>
      <c r="K164" s="19"/>
      <c r="L164" s="19"/>
      <c r="M164" s="19"/>
      <c r="N164" s="212"/>
      <c r="O164" s="212"/>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row>
    <row r="165" spans="1:39" s="16" customFormat="1" x14ac:dyDescent="0.2">
      <c r="A165" s="19"/>
      <c r="B165" s="19"/>
      <c r="C165" s="19"/>
      <c r="D165" s="19"/>
      <c r="E165" s="19"/>
      <c r="F165" s="19"/>
      <c r="G165" s="19"/>
      <c r="H165" s="19"/>
      <c r="I165" s="19"/>
      <c r="J165" s="19"/>
      <c r="K165" s="19"/>
      <c r="L165" s="19"/>
      <c r="M165" s="19"/>
      <c r="N165" s="212"/>
      <c r="O165" s="212"/>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row>
    <row r="166" spans="1:39" s="16" customFormat="1" x14ac:dyDescent="0.2">
      <c r="A166" s="19"/>
      <c r="B166" s="19"/>
      <c r="C166" s="19"/>
      <c r="D166" s="19"/>
      <c r="E166" s="19"/>
      <c r="F166" s="19"/>
      <c r="G166" s="19"/>
      <c r="H166" s="19"/>
      <c r="I166" s="19"/>
      <c r="J166" s="19"/>
      <c r="K166" s="19"/>
      <c r="L166" s="19"/>
      <c r="M166" s="19"/>
      <c r="N166" s="212"/>
      <c r="O166" s="212"/>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row>
    <row r="167" spans="1:39" s="16" customFormat="1" x14ac:dyDescent="0.2">
      <c r="A167" s="19"/>
      <c r="B167" s="19"/>
      <c r="C167" s="19"/>
      <c r="D167" s="19"/>
      <c r="E167" s="19"/>
      <c r="F167" s="19"/>
      <c r="G167" s="19"/>
      <c r="H167" s="19"/>
      <c r="I167" s="19"/>
      <c r="J167" s="19"/>
      <c r="K167" s="19"/>
      <c r="L167" s="19"/>
      <c r="M167" s="19"/>
      <c r="N167" s="212"/>
      <c r="O167" s="212"/>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row>
    <row r="168" spans="1:39" s="16" customFormat="1" x14ac:dyDescent="0.2">
      <c r="A168" s="19"/>
      <c r="B168" s="19"/>
      <c r="C168" s="19"/>
      <c r="D168" s="19"/>
      <c r="E168" s="19"/>
      <c r="F168" s="19"/>
      <c r="G168" s="19"/>
      <c r="H168" s="19"/>
      <c r="I168" s="19"/>
      <c r="J168" s="19"/>
      <c r="K168" s="19"/>
      <c r="L168" s="19"/>
      <c r="M168" s="19"/>
      <c r="N168" s="212"/>
      <c r="O168" s="212"/>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row>
    <row r="169" spans="1:39" s="16" customFormat="1" x14ac:dyDescent="0.2">
      <c r="A169" s="19"/>
      <c r="B169" s="19"/>
      <c r="C169" s="19"/>
      <c r="D169" s="19"/>
      <c r="E169" s="19"/>
      <c r="F169" s="19"/>
      <c r="G169" s="19"/>
      <c r="H169" s="19"/>
      <c r="I169" s="19"/>
      <c r="J169" s="19"/>
      <c r="K169" s="19"/>
      <c r="L169" s="19"/>
      <c r="M169" s="19"/>
      <c r="N169" s="212"/>
      <c r="O169" s="212"/>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row>
    <row r="170" spans="1:39" s="16" customFormat="1" x14ac:dyDescent="0.2">
      <c r="A170" s="19"/>
      <c r="B170" s="19"/>
      <c r="C170" s="19"/>
      <c r="D170" s="19"/>
      <c r="E170" s="19"/>
      <c r="F170" s="19"/>
      <c r="G170" s="19"/>
      <c r="H170" s="19"/>
      <c r="I170" s="19"/>
      <c r="J170" s="19"/>
      <c r="K170" s="19"/>
      <c r="L170" s="19"/>
      <c r="M170" s="19"/>
      <c r="N170" s="212"/>
      <c r="O170" s="212"/>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row>
    <row r="171" spans="1:39" s="16" customFormat="1" x14ac:dyDescent="0.2">
      <c r="A171" s="19"/>
      <c r="B171" s="19"/>
      <c r="C171" s="19"/>
      <c r="D171" s="19"/>
      <c r="E171" s="19"/>
      <c r="F171" s="19"/>
      <c r="G171" s="19"/>
      <c r="H171" s="19"/>
      <c r="I171" s="19"/>
      <c r="J171" s="19"/>
      <c r="K171" s="19"/>
      <c r="L171" s="19"/>
      <c r="M171" s="19"/>
      <c r="N171" s="212"/>
      <c r="O171" s="212"/>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row>
    <row r="172" spans="1:39" s="16" customFormat="1" x14ac:dyDescent="0.2">
      <c r="A172" s="19"/>
      <c r="B172" s="19"/>
      <c r="C172" s="19"/>
      <c r="D172" s="19"/>
      <c r="E172" s="19"/>
      <c r="F172" s="19"/>
      <c r="G172" s="19"/>
      <c r="H172" s="19"/>
      <c r="I172" s="19"/>
      <c r="J172" s="19"/>
      <c r="K172" s="19"/>
      <c r="L172" s="19"/>
      <c r="M172" s="19"/>
      <c r="N172" s="212"/>
      <c r="O172" s="212"/>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row>
    <row r="173" spans="1:39" s="16" customFormat="1" x14ac:dyDescent="0.2">
      <c r="A173" s="19"/>
      <c r="B173" s="19"/>
      <c r="C173" s="19"/>
      <c r="D173" s="19"/>
      <c r="E173" s="19"/>
      <c r="F173" s="19"/>
      <c r="G173" s="19"/>
      <c r="H173" s="19"/>
      <c r="I173" s="19"/>
      <c r="J173" s="19"/>
      <c r="K173" s="19"/>
      <c r="L173" s="19"/>
      <c r="M173" s="19"/>
      <c r="N173" s="212"/>
      <c r="O173" s="212"/>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row>
    <row r="174" spans="1:39" s="16" customFormat="1" x14ac:dyDescent="0.2">
      <c r="A174" s="19"/>
      <c r="B174" s="19"/>
      <c r="C174" s="19"/>
      <c r="D174" s="19"/>
      <c r="E174" s="19"/>
      <c r="F174" s="19"/>
      <c r="G174" s="19"/>
      <c r="H174" s="19"/>
      <c r="I174" s="19"/>
      <c r="J174" s="19"/>
      <c r="K174" s="19"/>
      <c r="L174" s="19"/>
      <c r="M174" s="19"/>
      <c r="N174" s="212"/>
      <c r="O174" s="212"/>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row>
    <row r="175" spans="1:39" s="16" customFormat="1" x14ac:dyDescent="0.2">
      <c r="A175" s="19"/>
      <c r="B175" s="19"/>
      <c r="C175" s="19"/>
      <c r="D175" s="19"/>
      <c r="E175" s="19"/>
      <c r="F175" s="19"/>
      <c r="G175" s="19"/>
      <c r="H175" s="19"/>
      <c r="I175" s="19"/>
      <c r="J175" s="19"/>
      <c r="K175" s="19"/>
      <c r="L175" s="19"/>
      <c r="M175" s="19"/>
      <c r="N175" s="212"/>
      <c r="O175" s="212"/>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row>
    <row r="176" spans="1:39" s="16" customFormat="1" x14ac:dyDescent="0.2">
      <c r="A176" s="19"/>
      <c r="B176" s="19"/>
      <c r="C176" s="19"/>
      <c r="D176" s="19"/>
      <c r="E176" s="19"/>
      <c r="F176" s="19"/>
      <c r="G176" s="19"/>
      <c r="H176" s="19"/>
      <c r="I176" s="19"/>
      <c r="J176" s="19"/>
      <c r="K176" s="19"/>
      <c r="L176" s="19"/>
      <c r="M176" s="19"/>
      <c r="N176" s="212"/>
      <c r="O176" s="212"/>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row>
    <row r="177" spans="1:39" s="16" customFormat="1" x14ac:dyDescent="0.2">
      <c r="A177" s="19"/>
      <c r="B177" s="19"/>
      <c r="C177" s="19"/>
      <c r="D177" s="19"/>
      <c r="E177" s="19"/>
      <c r="F177" s="19"/>
      <c r="G177" s="19"/>
      <c r="H177" s="19"/>
      <c r="I177" s="19"/>
      <c r="J177" s="19"/>
      <c r="K177" s="19"/>
      <c r="L177" s="19"/>
      <c r="M177" s="19"/>
      <c r="N177" s="212"/>
      <c r="O177" s="212"/>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row>
    <row r="178" spans="1:39" s="16" customFormat="1" x14ac:dyDescent="0.2">
      <c r="A178" s="19"/>
      <c r="B178" s="19"/>
      <c r="C178" s="19"/>
      <c r="D178" s="19"/>
      <c r="E178" s="19"/>
      <c r="F178" s="19"/>
      <c r="G178" s="19"/>
      <c r="H178" s="19"/>
      <c r="I178" s="19"/>
      <c r="J178" s="19"/>
      <c r="K178" s="19"/>
      <c r="L178" s="19"/>
      <c r="M178" s="19"/>
      <c r="N178" s="212"/>
      <c r="O178" s="212"/>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row>
    <row r="179" spans="1:39" s="16" customFormat="1" x14ac:dyDescent="0.2">
      <c r="A179" s="19"/>
      <c r="B179" s="19"/>
      <c r="C179" s="19"/>
      <c r="D179" s="19"/>
      <c r="E179" s="19"/>
      <c r="F179" s="19"/>
      <c r="G179" s="19"/>
      <c r="H179" s="19"/>
      <c r="I179" s="19"/>
      <c r="J179" s="19"/>
      <c r="K179" s="19"/>
      <c r="L179" s="19"/>
      <c r="M179" s="19"/>
      <c r="N179" s="212"/>
      <c r="O179" s="212"/>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row>
    <row r="180" spans="1:39" s="16" customFormat="1" x14ac:dyDescent="0.2">
      <c r="A180" s="19"/>
      <c r="B180" s="19"/>
      <c r="C180" s="19"/>
      <c r="D180" s="19"/>
      <c r="E180" s="19"/>
      <c r="F180" s="19"/>
      <c r="G180" s="19"/>
      <c r="H180" s="19"/>
      <c r="I180" s="19"/>
      <c r="J180" s="19"/>
      <c r="K180" s="19"/>
      <c r="L180" s="19"/>
      <c r="M180" s="19"/>
      <c r="N180" s="212"/>
      <c r="O180" s="212"/>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row>
    <row r="181" spans="1:39" s="16" customFormat="1" x14ac:dyDescent="0.2">
      <c r="A181" s="19"/>
      <c r="B181" s="19"/>
      <c r="C181" s="19"/>
      <c r="D181" s="19"/>
      <c r="E181" s="19"/>
      <c r="F181" s="19"/>
      <c r="G181" s="19"/>
      <c r="H181" s="19"/>
      <c r="I181" s="19"/>
      <c r="J181" s="19"/>
      <c r="K181" s="19"/>
      <c r="L181" s="19"/>
      <c r="M181" s="19"/>
      <c r="N181" s="212"/>
      <c r="O181" s="212"/>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row>
    <row r="182" spans="1:39" s="16" customFormat="1" x14ac:dyDescent="0.2">
      <c r="A182" s="19"/>
      <c r="B182" s="19"/>
      <c r="C182" s="19"/>
      <c r="D182" s="19"/>
      <c r="E182" s="19"/>
      <c r="F182" s="19"/>
      <c r="G182" s="19"/>
      <c r="H182" s="19"/>
      <c r="I182" s="19"/>
      <c r="J182" s="19"/>
      <c r="K182" s="19"/>
      <c r="L182" s="19"/>
      <c r="M182" s="19"/>
      <c r="N182" s="212"/>
      <c r="O182" s="212"/>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row>
    <row r="183" spans="1:39" s="16" customFormat="1" x14ac:dyDescent="0.2">
      <c r="A183" s="19"/>
      <c r="B183" s="19"/>
      <c r="C183" s="19"/>
      <c r="D183" s="19"/>
      <c r="E183" s="19"/>
      <c r="F183" s="19"/>
      <c r="G183" s="19"/>
      <c r="H183" s="19"/>
      <c r="I183" s="19"/>
      <c r="J183" s="19"/>
      <c r="K183" s="19"/>
      <c r="L183" s="19"/>
      <c r="M183" s="19"/>
      <c r="N183" s="212"/>
      <c r="O183" s="212"/>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row>
    <row r="184" spans="1:39" s="16" customFormat="1" x14ac:dyDescent="0.2">
      <c r="A184" s="19"/>
      <c r="B184" s="19"/>
      <c r="C184" s="19"/>
      <c r="D184" s="19"/>
      <c r="E184" s="19"/>
      <c r="F184" s="19"/>
      <c r="G184" s="19"/>
      <c r="H184" s="19"/>
      <c r="I184" s="19"/>
      <c r="J184" s="19"/>
      <c r="K184" s="19"/>
      <c r="L184" s="19"/>
      <c r="M184" s="19"/>
      <c r="N184" s="212"/>
      <c r="O184" s="212"/>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row>
    <row r="185" spans="1:39" s="16" customFormat="1" x14ac:dyDescent="0.2">
      <c r="A185" s="19"/>
      <c r="B185" s="19"/>
      <c r="C185" s="19"/>
      <c r="D185" s="19"/>
      <c r="E185" s="19"/>
      <c r="F185" s="19"/>
      <c r="G185" s="19"/>
      <c r="H185" s="19"/>
      <c r="I185" s="19"/>
      <c r="J185" s="19"/>
      <c r="K185" s="19"/>
      <c r="L185" s="19"/>
      <c r="M185" s="19"/>
      <c r="N185" s="212"/>
      <c r="O185" s="212"/>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row>
    <row r="186" spans="1:39" s="16" customFormat="1" x14ac:dyDescent="0.2">
      <c r="A186" s="19"/>
      <c r="B186" s="19"/>
      <c r="C186" s="19"/>
      <c r="D186" s="19"/>
      <c r="E186" s="19"/>
      <c r="F186" s="19"/>
      <c r="G186" s="19"/>
      <c r="H186" s="19"/>
      <c r="I186" s="19"/>
      <c r="J186" s="19"/>
      <c r="K186" s="19"/>
      <c r="L186" s="19"/>
      <c r="M186" s="19"/>
      <c r="N186" s="212"/>
      <c r="O186" s="212"/>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row>
    <row r="187" spans="1:39" s="16" customFormat="1" x14ac:dyDescent="0.2">
      <c r="A187" s="19"/>
      <c r="B187" s="19"/>
      <c r="C187" s="19"/>
      <c r="D187" s="19"/>
      <c r="E187" s="19"/>
      <c r="F187" s="19"/>
      <c r="G187" s="19"/>
      <c r="H187" s="19"/>
      <c r="I187" s="19"/>
      <c r="J187" s="19"/>
      <c r="K187" s="19"/>
      <c r="L187" s="19"/>
      <c r="M187" s="19"/>
      <c r="N187" s="212"/>
      <c r="O187" s="212"/>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row>
    <row r="188" spans="1:39" s="16" customFormat="1" x14ac:dyDescent="0.2">
      <c r="A188" s="19"/>
      <c r="B188" s="19"/>
      <c r="C188" s="19"/>
      <c r="D188" s="19"/>
      <c r="E188" s="19"/>
      <c r="F188" s="19"/>
      <c r="G188" s="19"/>
      <c r="H188" s="19"/>
      <c r="I188" s="19"/>
      <c r="J188" s="19"/>
      <c r="K188" s="19"/>
      <c r="L188" s="19"/>
      <c r="M188" s="19"/>
      <c r="N188" s="212"/>
      <c r="O188" s="212"/>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row>
    <row r="189" spans="1:39" s="16" customFormat="1" x14ac:dyDescent="0.2">
      <c r="A189" s="19"/>
      <c r="B189" s="19"/>
      <c r="C189" s="19"/>
      <c r="D189" s="19"/>
      <c r="E189" s="19"/>
      <c r="F189" s="19"/>
      <c r="G189" s="19"/>
      <c r="H189" s="19"/>
      <c r="I189" s="19"/>
      <c r="J189" s="19"/>
      <c r="K189" s="19"/>
      <c r="L189" s="19"/>
      <c r="M189" s="19"/>
      <c r="N189" s="212"/>
      <c r="O189" s="212"/>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row>
    <row r="190" spans="1:39" s="16" customFormat="1" x14ac:dyDescent="0.2">
      <c r="A190" s="19"/>
      <c r="B190" s="19"/>
      <c r="C190" s="19"/>
      <c r="D190" s="19"/>
      <c r="E190" s="19"/>
      <c r="F190" s="19"/>
      <c r="G190" s="19"/>
      <c r="H190" s="19"/>
      <c r="I190" s="19"/>
      <c r="J190" s="19"/>
      <c r="K190" s="19"/>
      <c r="L190" s="19"/>
      <c r="M190" s="19"/>
      <c r="N190" s="212"/>
      <c r="O190" s="212"/>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row>
    <row r="191" spans="1:39" s="16" customFormat="1" x14ac:dyDescent="0.2">
      <c r="A191" s="19"/>
      <c r="B191" s="19"/>
      <c r="C191" s="19"/>
      <c r="D191" s="19"/>
      <c r="E191" s="19"/>
      <c r="F191" s="19"/>
      <c r="G191" s="19"/>
      <c r="H191" s="19"/>
      <c r="I191" s="19"/>
      <c r="J191" s="19"/>
      <c r="K191" s="19"/>
      <c r="L191" s="19"/>
      <c r="M191" s="19"/>
      <c r="N191" s="212"/>
      <c r="O191" s="212"/>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row>
    <row r="192" spans="1:39" s="16" customFormat="1" x14ac:dyDescent="0.2">
      <c r="A192" s="19"/>
      <c r="B192" s="19"/>
      <c r="C192" s="19"/>
      <c r="D192" s="19"/>
      <c r="E192" s="19"/>
      <c r="F192" s="19"/>
      <c r="G192" s="19"/>
      <c r="H192" s="19"/>
      <c r="I192" s="19"/>
      <c r="J192" s="19"/>
      <c r="K192" s="19"/>
      <c r="L192" s="19"/>
      <c r="M192" s="19"/>
      <c r="N192" s="212"/>
      <c r="O192" s="212"/>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row>
    <row r="193" spans="1:39" s="16" customFormat="1" x14ac:dyDescent="0.2">
      <c r="A193" s="19"/>
      <c r="B193" s="19"/>
      <c r="C193" s="19"/>
      <c r="D193" s="19"/>
      <c r="E193" s="19"/>
      <c r="F193" s="19"/>
      <c r="G193" s="19"/>
      <c r="H193" s="19"/>
      <c r="I193" s="19"/>
      <c r="J193" s="19"/>
      <c r="K193" s="19"/>
      <c r="L193" s="19"/>
      <c r="M193" s="19"/>
      <c r="N193" s="212"/>
      <c r="O193" s="212"/>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row>
    <row r="194" spans="1:39" s="16" customFormat="1" x14ac:dyDescent="0.2">
      <c r="A194" s="19"/>
      <c r="B194" s="19"/>
      <c r="C194" s="19"/>
      <c r="D194" s="19"/>
      <c r="E194" s="19"/>
      <c r="F194" s="19"/>
      <c r="G194" s="19"/>
      <c r="H194" s="19"/>
      <c r="I194" s="19"/>
      <c r="J194" s="19"/>
      <c r="K194" s="19"/>
      <c r="L194" s="19"/>
      <c r="M194" s="19"/>
      <c r="N194" s="212"/>
      <c r="O194" s="212"/>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row>
    <row r="195" spans="1:39" s="16" customFormat="1" x14ac:dyDescent="0.2">
      <c r="A195" s="19"/>
      <c r="B195" s="19"/>
      <c r="C195" s="19"/>
      <c r="D195" s="19"/>
      <c r="E195" s="19"/>
      <c r="F195" s="19"/>
      <c r="G195" s="19"/>
      <c r="H195" s="19"/>
      <c r="I195" s="19"/>
      <c r="J195" s="19"/>
      <c r="K195" s="19"/>
      <c r="L195" s="19"/>
      <c r="M195" s="19"/>
      <c r="N195" s="212"/>
      <c r="O195" s="212"/>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row>
    <row r="196" spans="1:39" s="16" customFormat="1" x14ac:dyDescent="0.2">
      <c r="A196" s="19"/>
      <c r="B196" s="19"/>
      <c r="C196" s="19"/>
      <c r="D196" s="19"/>
      <c r="E196" s="19"/>
      <c r="F196" s="19"/>
      <c r="G196" s="19"/>
      <c r="H196" s="19"/>
      <c r="I196" s="19"/>
      <c r="J196" s="19"/>
      <c r="K196" s="19"/>
      <c r="L196" s="19"/>
      <c r="M196" s="19"/>
      <c r="N196" s="212"/>
      <c r="O196" s="212"/>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row>
    <row r="197" spans="1:39" s="16" customFormat="1" x14ac:dyDescent="0.2">
      <c r="A197" s="19"/>
      <c r="B197" s="19"/>
      <c r="C197" s="19"/>
      <c r="D197" s="19"/>
      <c r="E197" s="19"/>
      <c r="F197" s="19"/>
      <c r="G197" s="19"/>
      <c r="H197" s="19"/>
      <c r="I197" s="19"/>
      <c r="J197" s="19"/>
      <c r="K197" s="19"/>
      <c r="L197" s="19"/>
      <c r="M197" s="19"/>
      <c r="N197" s="212"/>
      <c r="O197" s="212"/>
      <c r="P197" s="19"/>
      <c r="Q197" s="19"/>
      <c r="R197" s="19"/>
      <c r="S197" s="19"/>
      <c r="T197" s="19"/>
      <c r="U197" s="19"/>
      <c r="V197" s="19"/>
      <c r="W197" s="19"/>
      <c r="X197" s="19"/>
      <c r="Y197" s="19"/>
      <c r="Z197" s="19"/>
      <c r="AA197" s="19"/>
      <c r="AB197" s="19"/>
      <c r="AC197" s="19"/>
      <c r="AD197" s="19"/>
      <c r="AE197" s="19"/>
      <c r="AF197" s="19"/>
      <c r="AG197" s="19"/>
      <c r="AH197" s="19"/>
      <c r="AI197" s="19"/>
      <c r="AJ197" s="19"/>
      <c r="AK197" s="19"/>
      <c r="AL197" s="19"/>
      <c r="AM197" s="19"/>
    </row>
    <row r="198" spans="1:39" s="16" customFormat="1" x14ac:dyDescent="0.2">
      <c r="A198" s="19"/>
      <c r="B198" s="19"/>
      <c r="C198" s="19"/>
      <c r="D198" s="19"/>
      <c r="E198" s="19"/>
      <c r="F198" s="19"/>
      <c r="G198" s="19"/>
      <c r="H198" s="19"/>
      <c r="I198" s="19"/>
      <c r="J198" s="19"/>
      <c r="K198" s="19"/>
      <c r="L198" s="19"/>
      <c r="M198" s="19"/>
      <c r="N198" s="212"/>
      <c r="O198" s="212"/>
      <c r="P198" s="19"/>
      <c r="Q198" s="19"/>
      <c r="R198" s="19"/>
      <c r="S198" s="19"/>
      <c r="T198" s="19"/>
      <c r="U198" s="19"/>
      <c r="V198" s="19"/>
      <c r="W198" s="19"/>
      <c r="X198" s="19"/>
      <c r="Y198" s="19"/>
      <c r="Z198" s="19"/>
      <c r="AA198" s="19"/>
      <c r="AB198" s="19"/>
      <c r="AC198" s="19"/>
      <c r="AD198" s="19"/>
      <c r="AE198" s="19"/>
      <c r="AF198" s="19"/>
      <c r="AG198" s="19"/>
      <c r="AH198" s="19"/>
      <c r="AI198" s="19"/>
      <c r="AJ198" s="19"/>
      <c r="AK198" s="19"/>
      <c r="AL198" s="19"/>
      <c r="AM198" s="19"/>
    </row>
    <row r="199" spans="1:39" s="16" customFormat="1" x14ac:dyDescent="0.2">
      <c r="A199" s="19"/>
      <c r="B199" s="19"/>
      <c r="C199" s="19"/>
      <c r="D199" s="19"/>
      <c r="E199" s="19"/>
      <c r="F199" s="19"/>
      <c r="G199" s="19"/>
      <c r="H199" s="19"/>
      <c r="I199" s="19"/>
      <c r="J199" s="19"/>
      <c r="K199" s="19"/>
      <c r="L199" s="19"/>
      <c r="M199" s="19"/>
      <c r="N199" s="212"/>
      <c r="O199" s="212"/>
      <c r="P199" s="19"/>
      <c r="Q199" s="19"/>
      <c r="R199" s="19"/>
      <c r="S199" s="19"/>
      <c r="T199" s="19"/>
      <c r="U199" s="19"/>
      <c r="V199" s="19"/>
      <c r="W199" s="19"/>
      <c r="X199" s="19"/>
      <c r="Y199" s="19"/>
      <c r="Z199" s="19"/>
      <c r="AA199" s="19"/>
      <c r="AB199" s="19"/>
      <c r="AC199" s="19"/>
      <c r="AD199" s="19"/>
      <c r="AE199" s="19"/>
      <c r="AF199" s="19"/>
      <c r="AG199" s="19"/>
      <c r="AH199" s="19"/>
      <c r="AI199" s="19"/>
      <c r="AJ199" s="19"/>
      <c r="AK199" s="19"/>
      <c r="AL199" s="19"/>
      <c r="AM199" s="19"/>
    </row>
    <row r="200" spans="1:39" s="16" customFormat="1" x14ac:dyDescent="0.2">
      <c r="A200" s="19"/>
      <c r="B200" s="19"/>
      <c r="C200" s="19"/>
      <c r="D200" s="19"/>
      <c r="E200" s="19"/>
      <c r="F200" s="19"/>
      <c r="G200" s="19"/>
      <c r="H200" s="19"/>
      <c r="I200" s="19"/>
      <c r="J200" s="19"/>
      <c r="K200" s="19"/>
      <c r="L200" s="19"/>
      <c r="M200" s="19"/>
      <c r="N200" s="212"/>
      <c r="O200" s="212"/>
      <c r="P200" s="19"/>
      <c r="Q200" s="19"/>
      <c r="R200" s="19"/>
      <c r="S200" s="19"/>
      <c r="T200" s="19"/>
      <c r="U200" s="19"/>
      <c r="V200" s="19"/>
      <c r="W200" s="19"/>
      <c r="X200" s="19"/>
      <c r="Y200" s="19"/>
      <c r="Z200" s="19"/>
      <c r="AA200" s="19"/>
      <c r="AB200" s="19"/>
      <c r="AC200" s="19"/>
      <c r="AD200" s="19"/>
      <c r="AE200" s="19"/>
      <c r="AF200" s="19"/>
      <c r="AG200" s="19"/>
      <c r="AH200" s="19"/>
      <c r="AI200" s="19"/>
      <c r="AJ200" s="19"/>
      <c r="AK200" s="19"/>
      <c r="AL200" s="19"/>
      <c r="AM200" s="19"/>
    </row>
    <row r="201" spans="1:39" s="16" customFormat="1" x14ac:dyDescent="0.2">
      <c r="A201" s="19"/>
      <c r="B201" s="19"/>
      <c r="C201" s="19"/>
      <c r="D201" s="19"/>
      <c r="E201" s="19"/>
      <c r="F201" s="19"/>
      <c r="G201" s="19"/>
      <c r="H201" s="19"/>
      <c r="I201" s="19"/>
      <c r="J201" s="19"/>
      <c r="K201" s="19"/>
      <c r="L201" s="19"/>
      <c r="M201" s="19"/>
      <c r="N201" s="212"/>
      <c r="O201" s="212"/>
      <c r="P201" s="19"/>
      <c r="Q201" s="19"/>
      <c r="R201" s="19"/>
      <c r="S201" s="19"/>
      <c r="T201" s="19"/>
      <c r="U201" s="19"/>
      <c r="V201" s="19"/>
      <c r="W201" s="19"/>
      <c r="X201" s="19"/>
      <c r="Y201" s="19"/>
      <c r="Z201" s="19"/>
      <c r="AA201" s="19"/>
      <c r="AB201" s="19"/>
      <c r="AC201" s="19"/>
      <c r="AD201" s="19"/>
      <c r="AE201" s="19"/>
      <c r="AF201" s="19"/>
      <c r="AG201" s="19"/>
      <c r="AH201" s="19"/>
      <c r="AI201" s="19"/>
      <c r="AJ201" s="19"/>
      <c r="AK201" s="19"/>
      <c r="AL201" s="19"/>
      <c r="AM201" s="19"/>
    </row>
    <row r="202" spans="1:39" x14ac:dyDescent="0.2">
      <c r="B202" s="19"/>
      <c r="C202" s="19"/>
      <c r="D202" s="19"/>
      <c r="E202" s="19"/>
      <c r="G202" s="19"/>
      <c r="H202" s="19"/>
      <c r="I202" s="19"/>
      <c r="J202" s="19"/>
      <c r="K202" s="19"/>
      <c r="L202" s="19"/>
      <c r="M202" s="19"/>
      <c r="O202" s="212"/>
    </row>
    <row r="203" spans="1:39" x14ac:dyDescent="0.2">
      <c r="B203" s="19"/>
      <c r="C203" s="19"/>
      <c r="D203" s="19"/>
      <c r="E203" s="19"/>
      <c r="G203" s="19"/>
      <c r="H203" s="19"/>
      <c r="I203" s="19"/>
      <c r="J203" s="19"/>
      <c r="K203" s="19"/>
      <c r="L203" s="19"/>
      <c r="M203" s="19"/>
      <c r="O203" s="212"/>
    </row>
    <row r="204" spans="1:39" x14ac:dyDescent="0.2">
      <c r="B204" s="19"/>
      <c r="C204" s="19"/>
      <c r="D204" s="19"/>
      <c r="E204" s="19"/>
      <c r="G204" s="19"/>
      <c r="H204" s="19"/>
      <c r="I204" s="19"/>
      <c r="J204" s="19"/>
      <c r="K204" s="19"/>
      <c r="L204" s="19"/>
      <c r="M204" s="19"/>
      <c r="O204" s="212"/>
    </row>
    <row r="205" spans="1:39" x14ac:dyDescent="0.2">
      <c r="B205" s="19"/>
      <c r="C205" s="19"/>
      <c r="D205" s="19"/>
      <c r="E205" s="19"/>
      <c r="G205" s="19"/>
      <c r="H205" s="19"/>
      <c r="I205" s="19"/>
      <c r="J205" s="19"/>
      <c r="K205" s="19"/>
      <c r="L205" s="19"/>
      <c r="M205" s="19"/>
      <c r="O205" s="212"/>
    </row>
    <row r="206" spans="1:39" x14ac:dyDescent="0.2">
      <c r="B206" s="19"/>
      <c r="C206" s="19"/>
      <c r="D206" s="19"/>
      <c r="E206" s="19"/>
      <c r="G206" s="19"/>
      <c r="H206" s="19"/>
      <c r="I206" s="19"/>
      <c r="J206" s="19"/>
      <c r="K206" s="19"/>
      <c r="L206" s="19"/>
      <c r="M206" s="19"/>
      <c r="O206" s="212"/>
    </row>
    <row r="207" spans="1:39" x14ac:dyDescent="0.2">
      <c r="B207" s="19"/>
      <c r="C207" s="19"/>
      <c r="D207" s="19"/>
      <c r="E207" s="19"/>
      <c r="G207" s="19"/>
      <c r="H207" s="19"/>
      <c r="I207" s="19"/>
      <c r="J207" s="19"/>
      <c r="K207" s="19"/>
      <c r="L207" s="19"/>
      <c r="M207" s="19"/>
      <c r="O207" s="212"/>
    </row>
    <row r="208" spans="1:39" x14ac:dyDescent="0.2">
      <c r="B208" s="19"/>
      <c r="C208" s="19"/>
      <c r="D208" s="19"/>
      <c r="E208" s="19"/>
      <c r="G208" s="19"/>
      <c r="H208" s="19"/>
      <c r="I208" s="19"/>
      <c r="J208" s="19"/>
      <c r="K208" s="19"/>
      <c r="L208" s="19"/>
      <c r="M208" s="19"/>
      <c r="O208" s="212"/>
    </row>
  </sheetData>
  <mergeCells count="79">
    <mergeCell ref="C41:C43"/>
    <mergeCell ref="C46:D46"/>
    <mergeCell ref="C18:D18"/>
    <mergeCell ref="C40:D40"/>
    <mergeCell ref="C26:D26"/>
    <mergeCell ref="C20:D20"/>
    <mergeCell ref="C39:D39"/>
    <mergeCell ref="AN72:AN74"/>
    <mergeCell ref="C4:D4"/>
    <mergeCell ref="C5:D5"/>
    <mergeCell ref="C6:D6"/>
    <mergeCell ref="C7:D7"/>
    <mergeCell ref="C52:D52"/>
    <mergeCell ref="C51:D51"/>
    <mergeCell ref="C49:D49"/>
    <mergeCell ref="C50:D50"/>
    <mergeCell ref="C36:D36"/>
    <mergeCell ref="C37:D37"/>
    <mergeCell ref="C38:D38"/>
    <mergeCell ref="C44:D44"/>
    <mergeCell ref="C47:D47"/>
    <mergeCell ref="C19:D19"/>
    <mergeCell ref="C15:D15"/>
    <mergeCell ref="X4:Y4"/>
    <mergeCell ref="C8:D8"/>
    <mergeCell ref="AC2:AJ2"/>
    <mergeCell ref="AC3:AJ3"/>
    <mergeCell ref="AI4:AJ4"/>
    <mergeCell ref="B2:D2"/>
    <mergeCell ref="G3:M3"/>
    <mergeCell ref="B8:B26"/>
    <mergeCell ref="C11:D11"/>
    <mergeCell ref="C9:D9"/>
    <mergeCell ref="C10:D10"/>
    <mergeCell ref="C48:D48"/>
    <mergeCell ref="C45:D45"/>
    <mergeCell ref="D122:F122"/>
    <mergeCell ref="G2:M2"/>
    <mergeCell ref="R3:Y3"/>
    <mergeCell ref="R2:Y2"/>
    <mergeCell ref="C35:D35"/>
    <mergeCell ref="C34:D34"/>
    <mergeCell ref="C33:D33"/>
    <mergeCell ref="C32:D32"/>
    <mergeCell ref="C31:D31"/>
    <mergeCell ref="C30:D30"/>
    <mergeCell ref="C29:D29"/>
    <mergeCell ref="C27:D27"/>
    <mergeCell ref="C114:D114"/>
    <mergeCell ref="C113:D113"/>
    <mergeCell ref="B27:B35"/>
    <mergeCell ref="C12:D12"/>
    <mergeCell ref="C25:D25"/>
    <mergeCell ref="C24:D24"/>
    <mergeCell ref="C23:D23"/>
    <mergeCell ref="C22:D22"/>
    <mergeCell ref="C21:D21"/>
    <mergeCell ref="C13:D13"/>
    <mergeCell ref="C14:D14"/>
    <mergeCell ref="C17:D17"/>
    <mergeCell ref="C16:D16"/>
    <mergeCell ref="C28:D28"/>
    <mergeCell ref="C117:D117"/>
    <mergeCell ref="C116:D116"/>
    <mergeCell ref="C115:D115"/>
    <mergeCell ref="C112:D112"/>
    <mergeCell ref="C59:C70"/>
    <mergeCell ref="C97:D97"/>
    <mergeCell ref="C98:C111"/>
    <mergeCell ref="C85:C96"/>
    <mergeCell ref="C84:D84"/>
    <mergeCell ref="C72:C83"/>
    <mergeCell ref="C53:D53"/>
    <mergeCell ref="C54:D54"/>
    <mergeCell ref="C55:D55"/>
    <mergeCell ref="C56:D56"/>
    <mergeCell ref="C71:D71"/>
    <mergeCell ref="C58:D58"/>
    <mergeCell ref="C57:D57"/>
  </mergeCells>
  <phoneticPr fontId="0" type="noConversion"/>
  <pageMargins left="0.78740157499999996" right="0.78740157499999996" top="0.984251969" bottom="0.984251969" header="0.4921259845" footer="0.4921259845"/>
  <pageSetup paperSize="8" fitToHeight="0" orientation="landscape" r:id="rId1"/>
  <headerFooter alignWithMargins="0"/>
  <ignoredErrors>
    <ignoredError sqref="M30 W49 W35 P30 E30" formula="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O130"/>
  <sheetViews>
    <sheetView tabSelected="1" topLeftCell="A28" zoomScale="70" zoomScaleNormal="70" workbookViewId="0">
      <selection activeCell="L43" sqref="L43"/>
    </sheetView>
    <sheetView workbookViewId="1"/>
  </sheetViews>
  <sheetFormatPr baseColWidth="10" defaultRowHeight="12.75" x14ac:dyDescent="0.2"/>
  <cols>
    <col min="1" max="1" width="5.5703125" customWidth="1"/>
    <col min="2" max="2" width="19" style="1" customWidth="1"/>
    <col min="3" max="3" width="20.85546875" style="1" customWidth="1"/>
    <col min="5" max="5" width="14.28515625" customWidth="1"/>
    <col min="7" max="7" width="15" customWidth="1"/>
    <col min="9" max="11" width="15.28515625" customWidth="1"/>
    <col min="12" max="12" width="12.5703125" style="212" customWidth="1"/>
    <col min="13" max="14" width="10.28515625" style="212" customWidth="1"/>
    <col min="15" max="15" width="33.7109375" customWidth="1"/>
  </cols>
  <sheetData>
    <row r="2" spans="2:15" x14ac:dyDescent="0.2">
      <c r="C2" s="9"/>
    </row>
    <row r="3" spans="2:15" ht="13.5" thickBot="1" x14ac:dyDescent="0.25">
      <c r="C3" s="9"/>
    </row>
    <row r="4" spans="2:15" ht="26.25" thickBot="1" x14ac:dyDescent="0.25">
      <c r="B4" s="11" t="s">
        <v>159</v>
      </c>
      <c r="C4" s="11"/>
      <c r="D4" s="96">
        <v>2010</v>
      </c>
      <c r="E4" s="11" t="s">
        <v>73</v>
      </c>
      <c r="F4" s="96">
        <v>2014</v>
      </c>
      <c r="G4" s="11" t="s">
        <v>105</v>
      </c>
      <c r="H4" s="96">
        <v>2017</v>
      </c>
      <c r="I4" s="11" t="s">
        <v>145</v>
      </c>
      <c r="J4" s="1142" t="s">
        <v>277</v>
      </c>
      <c r="K4" s="1142" t="s">
        <v>276</v>
      </c>
      <c r="L4" s="524" t="s">
        <v>229</v>
      </c>
      <c r="M4" s="524"/>
      <c r="N4" s="524"/>
    </row>
    <row r="5" spans="2:15" ht="26.25" thickBot="1" x14ac:dyDescent="0.25">
      <c r="B5" s="1074" t="s">
        <v>3</v>
      </c>
      <c r="C5" s="542" t="s">
        <v>12</v>
      </c>
      <c r="D5" s="187">
        <f>'Emissions 2010_2014_2017'!L8</f>
        <v>594.80940999999996</v>
      </c>
      <c r="E5" s="312">
        <f>'Emissions 2010_2014_2017'!M8</f>
        <v>29.740470500000001</v>
      </c>
      <c r="F5" s="187">
        <f>'Emissions 2010_2014_2017'!W8</f>
        <v>407.36851999999999</v>
      </c>
      <c r="G5" s="312">
        <f>'Emissions 2010_2014_2017'!Y8</f>
        <v>20.368425999999999</v>
      </c>
      <c r="H5" s="187">
        <f>'Emissions 2010_2014_2017'!AH8</f>
        <v>523.92925000000002</v>
      </c>
      <c r="I5" s="312">
        <f>'Emissions 2010_2014_2017'!AJ8</f>
        <v>26.196462500000003</v>
      </c>
      <c r="J5" s="1147">
        <v>0.3</v>
      </c>
      <c r="K5" s="1143">
        <f>(1-J5)*H5</f>
        <v>366.75047499999999</v>
      </c>
      <c r="L5" s="529">
        <f t="shared" ref="L5:L10" si="0">H5-F5</f>
        <v>116.56073000000004</v>
      </c>
      <c r="M5" s="529"/>
      <c r="N5" s="959">
        <f>H5/$H$37</f>
        <v>0.21232415781968639</v>
      </c>
      <c r="O5" s="1"/>
    </row>
    <row r="6" spans="2:15" ht="25.5" customHeight="1" thickBot="1" x14ac:dyDescent="0.25">
      <c r="B6" s="1075"/>
      <c r="C6" s="543" t="s">
        <v>13</v>
      </c>
      <c r="D6" s="187">
        <f>'Emissions 2010_2014_2017'!L9</f>
        <v>493.11527999999998</v>
      </c>
      <c r="E6" s="312">
        <f>'Emissions 2010_2014_2017'!M9</f>
        <v>24.655764000000001</v>
      </c>
      <c r="F6" s="187">
        <f>'Emissions 2010_2014_2017'!W9</f>
        <v>346.36273499999999</v>
      </c>
      <c r="G6" s="312">
        <f>'Emissions 2010_2014_2017'!Y9</f>
        <v>17.318136750000001</v>
      </c>
      <c r="H6" s="187">
        <f>'Emissions 2010_2014_2017'!AH9</f>
        <v>455.91030000000001</v>
      </c>
      <c r="I6" s="312">
        <f>'Emissions 2010_2014_2017'!AJ9</f>
        <v>22.795515000000002</v>
      </c>
      <c r="J6" s="1147"/>
      <c r="K6" s="1143">
        <f t="shared" ref="K6:K36" si="1">(1-J6)*H6</f>
        <v>455.91030000000001</v>
      </c>
      <c r="L6" s="529">
        <f t="shared" si="0"/>
        <v>109.54756500000002</v>
      </c>
      <c r="M6" s="529"/>
      <c r="N6" s="959">
        <f t="shared" ref="N6:N45" si="2">H6/$H$37</f>
        <v>0.18475924084944784</v>
      </c>
      <c r="O6" s="1"/>
    </row>
    <row r="7" spans="2:15" ht="23.25" customHeight="1" thickBot="1" x14ac:dyDescent="0.25">
      <c r="B7" s="1075"/>
      <c r="C7" s="543" t="s">
        <v>34</v>
      </c>
      <c r="D7" s="312">
        <f>'Emissions 2010_2014_2017'!L10</f>
        <v>50.330519999999993</v>
      </c>
      <c r="E7" s="188">
        <f>'Emissions 2010_2014_2017'!M10</f>
        <v>2.5165259999999998</v>
      </c>
      <c r="F7" s="312">
        <f>'Emissions 2010_2014_2017'!W10</f>
        <v>39.924561999999995</v>
      </c>
      <c r="G7" s="312">
        <f>'Emissions 2010_2014_2017'!Y10</f>
        <v>1.9962280999999997</v>
      </c>
      <c r="H7" s="312">
        <f>'Emissions 2010_2014_2017'!AH10</f>
        <v>32.022956499999992</v>
      </c>
      <c r="I7" s="188">
        <f>'Emissions 2010_2014_2017'!AJ10</f>
        <v>1.6011478249999997</v>
      </c>
      <c r="J7" s="1147">
        <v>0.8</v>
      </c>
      <c r="K7" s="1143">
        <f t="shared" si="1"/>
        <v>6.4045912999999972</v>
      </c>
      <c r="L7" s="529">
        <f t="shared" si="0"/>
        <v>-7.9016055000000023</v>
      </c>
      <c r="M7" s="529"/>
      <c r="N7" s="959">
        <f t="shared" si="2"/>
        <v>1.2977414927223379E-2</v>
      </c>
      <c r="O7" s="1"/>
    </row>
    <row r="8" spans="2:15" ht="21.75" customHeight="1" thickBot="1" x14ac:dyDescent="0.25">
      <c r="B8" s="1075"/>
      <c r="C8" s="543" t="s">
        <v>15</v>
      </c>
      <c r="D8" s="188">
        <f>'Emissions 2010_2014_2017'!L11</f>
        <v>1.6806563999999999</v>
      </c>
      <c r="E8" s="188">
        <f>'Emissions 2010_2014_2017'!M11</f>
        <v>0.16806564000000002</v>
      </c>
      <c r="F8" s="188">
        <f>'Emissions 2010_2014_2017'!W11</f>
        <v>2.2800000000000001E-2</v>
      </c>
      <c r="G8" s="188">
        <f>'Emissions 2010_2014_2017'!Y11</f>
        <v>2.2800000000000003E-3</v>
      </c>
      <c r="H8" s="537">
        <f>'Emissions 2010_2014_2017'!AH11</f>
        <v>1.36572E-2</v>
      </c>
      <c r="I8" s="188">
        <f>'Emissions 2010_2014_2017'!AJ11</f>
        <v>1.36572E-3</v>
      </c>
      <c r="J8" s="1147"/>
      <c r="K8" s="1143">
        <f t="shared" si="1"/>
        <v>1.36572E-2</v>
      </c>
      <c r="L8" s="529">
        <f t="shared" si="0"/>
        <v>-9.1428000000000013E-3</v>
      </c>
      <c r="M8" s="530"/>
      <c r="N8" s="959">
        <f t="shared" si="2"/>
        <v>5.5346279830244647E-6</v>
      </c>
      <c r="O8" s="1"/>
    </row>
    <row r="9" spans="2:15" ht="49.5" customHeight="1" thickBot="1" x14ac:dyDescent="0.25">
      <c r="B9" s="1075"/>
      <c r="C9" s="543" t="s">
        <v>64</v>
      </c>
      <c r="D9" s="312">
        <f>SUM('Emissions 2010_2014_2017'!L15:L19)+'Emissions 2010_2014_2017'!L12+'Emissions 2010_2014_2017'!L13</f>
        <v>63.363238750000001</v>
      </c>
      <c r="E9" s="312">
        <f>SUM('Emissions 2010_2014_2017'!M15:M19)+'Emissions 2010_2014_2017'!M12+'Emissions 2010_2014_2017'!M13</f>
        <v>19.182164125</v>
      </c>
      <c r="F9" s="312">
        <f>SUM('Emissions 2010_2014_2017'!W15:W19)+'Emissions 2010_2014_2017'!W12+'Emissions 2010_2014_2017'!W13</f>
        <v>56.780286250000003</v>
      </c>
      <c r="G9" s="312">
        <f>SUM('Emissions 2010_2014_2017'!Y15:Y19)+'Emissions 2010_2014_2017'!Y12+'Emissions 2010_2014_2017'!Y13</f>
        <v>17.210785874999999</v>
      </c>
      <c r="H9" s="188">
        <f>SUM('Emissions 2010_2014_2017'!AH15:AH19)+'Emissions 2010_2014_2017'!AH12+'Emissions 2010_2014_2017'!AH13</f>
        <v>57.315415000000002</v>
      </c>
      <c r="I9" s="312">
        <f>SUM('Emissions 2010_2014_2017'!AJ15:AJ19)+'Emissions 2010_2014_2017'!AJ12+'Emissions 2010_2014_2017'!AJ13</f>
        <v>17.425884625000002</v>
      </c>
      <c r="J9" s="1147"/>
      <c r="K9" s="1143">
        <f t="shared" si="1"/>
        <v>57.315415000000002</v>
      </c>
      <c r="L9" s="529">
        <f t="shared" si="0"/>
        <v>0.53512874999999838</v>
      </c>
      <c r="M9" s="529"/>
      <c r="N9" s="959">
        <f t="shared" si="2"/>
        <v>2.3227272040949841E-2</v>
      </c>
      <c r="O9" s="27" t="s">
        <v>123</v>
      </c>
    </row>
    <row r="10" spans="2:15" ht="44.25" customHeight="1" thickBot="1" x14ac:dyDescent="0.25">
      <c r="B10" s="1075"/>
      <c r="C10" s="544" t="s">
        <v>52</v>
      </c>
      <c r="D10" s="312">
        <f>SUM('Emissions 2010_2014_2017'!L20:L24)+'Emissions 2010_2014_2017'!L14</f>
        <v>55.235050000000001</v>
      </c>
      <c r="E10" s="312">
        <f>SUM('Emissions 2010_2014_2017'!M20:M24)+'Emissions 2010_2014_2017'!M14</f>
        <v>19.687035000000002</v>
      </c>
      <c r="F10" s="312">
        <f>SUM('Emissions 2010_2014_2017'!W20:W24)+'Emissions 2010_2014_2017'!W14</f>
        <v>54.514450000000004</v>
      </c>
      <c r="G10" s="312">
        <f>SUM('Emissions 2010_2014_2017'!Y20:Y24)+'Emissions 2010_2014_2017'!Y14</f>
        <v>19.381934999999999</v>
      </c>
      <c r="H10" s="188">
        <f>SUM('Emissions 2010_2014_2017'!AH20:AH24)+'Emissions 2010_2014_2017'!AH14</f>
        <v>11.15705</v>
      </c>
      <c r="I10" s="312">
        <f>SUM('Emissions 2010_2014_2017'!AJ20:AJ24)+'Emissions 2010_2014_2017'!AJ14</f>
        <v>5.4061349999999999</v>
      </c>
      <c r="J10" s="1147"/>
      <c r="K10" s="1143">
        <f t="shared" si="1"/>
        <v>11.15705</v>
      </c>
      <c r="L10" s="529">
        <f t="shared" si="0"/>
        <v>-43.357400000000005</v>
      </c>
      <c r="M10" s="529"/>
      <c r="N10" s="959">
        <f t="shared" si="2"/>
        <v>4.5214334664501589E-3</v>
      </c>
      <c r="O10" s="27" t="s">
        <v>123</v>
      </c>
    </row>
    <row r="11" spans="2:15" ht="35.25" customHeight="1" thickBot="1" x14ac:dyDescent="0.25">
      <c r="B11" s="1075"/>
      <c r="C11" s="545" t="s">
        <v>18</v>
      </c>
      <c r="D11" s="99"/>
      <c r="E11" s="99"/>
      <c r="F11" s="99"/>
      <c r="G11" s="184"/>
      <c r="H11" s="99"/>
      <c r="I11" s="184"/>
      <c r="J11" s="1148"/>
      <c r="K11" s="1143">
        <f t="shared" si="1"/>
        <v>0</v>
      </c>
      <c r="L11" s="530"/>
      <c r="M11" s="530"/>
      <c r="N11" s="959">
        <f t="shared" si="2"/>
        <v>0</v>
      </c>
      <c r="O11" s="27" t="s">
        <v>72</v>
      </c>
    </row>
    <row r="12" spans="2:15" ht="21" customHeight="1" thickBot="1" x14ac:dyDescent="0.25">
      <c r="B12" s="1128"/>
      <c r="C12" s="546" t="s">
        <v>2</v>
      </c>
      <c r="D12" s="189">
        <f>SUM(D5:D10)</f>
        <v>1258.5341551499998</v>
      </c>
      <c r="E12" s="97"/>
      <c r="F12" s="189">
        <f>SUM(F5:F10)</f>
        <v>904.97335324999995</v>
      </c>
      <c r="G12" s="97"/>
      <c r="H12" s="189">
        <f>SUM(H5:H10)</f>
        <v>1080.3486287000001</v>
      </c>
      <c r="I12" s="97"/>
      <c r="J12" s="1149"/>
      <c r="K12" s="1143">
        <f>SUM(K5:K11)</f>
        <v>897.55148850000012</v>
      </c>
      <c r="L12" s="529">
        <f>H12-F12</f>
        <v>175.37527545000012</v>
      </c>
      <c r="M12" s="529"/>
      <c r="N12" s="959">
        <f t="shared" si="2"/>
        <v>0.43781505373174062</v>
      </c>
      <c r="O12" s="121"/>
    </row>
    <row r="13" spans="2:15" ht="27" customHeight="1" thickBot="1" x14ac:dyDescent="0.25">
      <c r="B13" s="1076" t="s">
        <v>8</v>
      </c>
      <c r="C13" s="547" t="s">
        <v>19</v>
      </c>
      <c r="D13" s="190">
        <f>'Emissions 2010_2014_2017'!L27</f>
        <v>126.88472279999998</v>
      </c>
      <c r="E13" s="510">
        <f>'Emissions 2010_2014_2017'!M27</f>
        <v>12.688472279999999</v>
      </c>
      <c r="F13" s="190">
        <f>'Emissions 2010_2014_2017'!W27</f>
        <v>116.49881999999998</v>
      </c>
      <c r="G13" s="510">
        <f>'Emissions 2010_2014_2017'!Y27</f>
        <v>11.649881999999998</v>
      </c>
      <c r="H13" s="190">
        <f>'Emissions 2010_2014_2017'!AH27+'Emissions 2010_2014_2017'!AH28</f>
        <v>91.972796899999963</v>
      </c>
      <c r="I13" s="510">
        <f>'Emissions 2010_2014_2017'!AJ27+'Emissions 2010_2014_2017'!AJ28</f>
        <v>9.1972796899999967</v>
      </c>
      <c r="J13" s="1150">
        <v>0.2</v>
      </c>
      <c r="K13" s="1143">
        <f t="shared" si="1"/>
        <v>73.578237519999973</v>
      </c>
      <c r="L13" s="529">
        <f t="shared" ref="L13:L18" si="3">H13-F13</f>
        <v>-24.526023100000018</v>
      </c>
      <c r="M13" s="530">
        <f>L13/F13</f>
        <v>-0.21052593579917825</v>
      </c>
      <c r="N13" s="959">
        <f t="shared" si="2"/>
        <v>3.7272297059409362E-2</v>
      </c>
      <c r="O13" s="1"/>
    </row>
    <row r="14" spans="2:15" ht="40.5" customHeight="1" thickBot="1" x14ac:dyDescent="0.25">
      <c r="B14" s="1077"/>
      <c r="C14" s="547" t="s">
        <v>42</v>
      </c>
      <c r="D14" s="510">
        <f>'Emissions 2010_2014_2017'!L29</f>
        <v>17.071127349999998</v>
      </c>
      <c r="E14" s="191">
        <f>'Emissions 2010_2014_2017'!M29</f>
        <v>1.7071127349999999</v>
      </c>
      <c r="F14" s="510">
        <f>'Emissions 2010_2014_2017'!W29</f>
        <v>17.862505399999996</v>
      </c>
      <c r="G14" s="191">
        <f>'Emissions 2010_2014_2017'!Y29</f>
        <v>1.7862505399999997</v>
      </c>
      <c r="H14" s="510">
        <f>'Emissions 2010_2014_2017'!AH29</f>
        <v>17.216605299999998</v>
      </c>
      <c r="I14" s="191">
        <f>'Emissions 2010_2014_2017'!AJ29</f>
        <v>1.7216605299999999</v>
      </c>
      <c r="J14" s="1150">
        <v>1</v>
      </c>
      <c r="K14" s="1143">
        <f t="shared" si="1"/>
        <v>0</v>
      </c>
      <c r="L14" s="529">
        <f t="shared" si="3"/>
        <v>-0.64590009999999864</v>
      </c>
      <c r="M14" s="530">
        <f>L14/F14</f>
        <v>-3.6159546801312586E-2</v>
      </c>
      <c r="N14" s="959">
        <f t="shared" si="2"/>
        <v>6.9770894082291611E-3</v>
      </c>
      <c r="O14" s="1"/>
    </row>
    <row r="15" spans="2:15" ht="42" customHeight="1" thickBot="1" x14ac:dyDescent="0.25">
      <c r="B15" s="1077"/>
      <c r="C15" s="547" t="s">
        <v>43</v>
      </c>
      <c r="D15" s="510">
        <f>'Emissions 2010_2014_2017'!L30</f>
        <v>36.2480495</v>
      </c>
      <c r="E15" s="510">
        <f>'Emissions 2010_2014_2017'!M30</f>
        <v>10.874414849999999</v>
      </c>
      <c r="F15" s="510">
        <f>'Emissions 2010_2014_2017'!W30</f>
        <v>19.535893000000002</v>
      </c>
      <c r="G15" s="191">
        <f>'Emissions 2010_2014_2017'!Y30</f>
        <v>5.8607678999999999</v>
      </c>
      <c r="H15" s="510">
        <f>'Emissions 2010_2014_2017'!AH30</f>
        <v>26.178438000000003</v>
      </c>
      <c r="I15" s="191">
        <f>'Emissions 2010_2014_2017'!AJ30</f>
        <v>7.8535314000000005</v>
      </c>
      <c r="J15" s="1150">
        <v>1</v>
      </c>
      <c r="K15" s="1143">
        <f t="shared" si="1"/>
        <v>0</v>
      </c>
      <c r="L15" s="529">
        <f t="shared" si="3"/>
        <v>6.6425450000000019</v>
      </c>
      <c r="M15" s="530"/>
      <c r="N15" s="959">
        <f t="shared" si="2"/>
        <v>1.0608903399428216E-2</v>
      </c>
      <c r="O15" s="1"/>
    </row>
    <row r="16" spans="2:15" ht="27.75" customHeight="1" thickBot="1" x14ac:dyDescent="0.25">
      <c r="B16" s="1077"/>
      <c r="C16" s="547" t="s">
        <v>20</v>
      </c>
      <c r="D16" s="191">
        <f>'Emissions 2010_2014_2017'!L31</f>
        <v>1.0256890999999997</v>
      </c>
      <c r="E16" s="191">
        <f>'Emissions 2010_2014_2017'!M31</f>
        <v>0.10256890999999997</v>
      </c>
      <c r="F16" s="191">
        <f>'Emissions 2010_2014_2017'!W31</f>
        <v>0.77083579999999985</v>
      </c>
      <c r="G16" s="191">
        <f>'Emissions 2010_2014_2017'!Y31</f>
        <v>7.7083579999999985E-2</v>
      </c>
      <c r="H16" s="191">
        <f>'Emissions 2010_2014_2017'!AH31</f>
        <v>0.16679659999999996</v>
      </c>
      <c r="I16" s="191">
        <f>'Emissions 2010_2014_2017'!AJ31</f>
        <v>1.6679659999999995E-2</v>
      </c>
      <c r="J16" s="1150"/>
      <c r="K16" s="1143">
        <f t="shared" si="1"/>
        <v>0.16679659999999996</v>
      </c>
      <c r="L16" s="529">
        <f t="shared" si="3"/>
        <v>-0.60403919999999989</v>
      </c>
      <c r="M16" s="530"/>
      <c r="N16" s="959">
        <f t="shared" si="2"/>
        <v>6.7594904507024744E-5</v>
      </c>
      <c r="O16" s="1"/>
    </row>
    <row r="17" spans="2:15" ht="27.75" customHeight="1" thickBot="1" x14ac:dyDescent="0.25">
      <c r="B17" s="1077"/>
      <c r="C17" s="548" t="s">
        <v>21</v>
      </c>
      <c r="D17" s="190">
        <f>'Emissions 2010_2014_2017'!L32</f>
        <v>158.68820189999997</v>
      </c>
      <c r="E17" s="510">
        <f>'Emissions 2010_2014_2017'!M32</f>
        <v>15.868820189999997</v>
      </c>
      <c r="F17" s="190">
        <f>'Emissions 2010_2014_2017'!W32</f>
        <v>176.25464009999996</v>
      </c>
      <c r="G17" s="510">
        <f>'Emissions 2010_2014_2017'!Y32</f>
        <v>17.625464009999998</v>
      </c>
      <c r="H17" s="190">
        <f>'Emissions 2010_2014_2017'!AH32</f>
        <v>189.02700239999996</v>
      </c>
      <c r="I17" s="510">
        <f>'Emissions 2010_2014_2017'!AJ32</f>
        <v>18.902700239999998</v>
      </c>
      <c r="J17" s="1150"/>
      <c r="K17" s="1143">
        <f t="shared" si="1"/>
        <v>189.02700239999996</v>
      </c>
      <c r="L17" s="529">
        <f t="shared" si="3"/>
        <v>12.772362299999998</v>
      </c>
      <c r="M17" s="531"/>
      <c r="N17" s="959">
        <f t="shared" si="2"/>
        <v>7.6603852695301566E-2</v>
      </c>
      <c r="O17" s="1"/>
    </row>
    <row r="18" spans="2:15" ht="26.25" customHeight="1" thickBot="1" x14ac:dyDescent="0.25">
      <c r="B18" s="1077"/>
      <c r="C18" s="511" t="s">
        <v>132</v>
      </c>
      <c r="D18" s="190">
        <f>'Emissions 2010_2014_2017'!L33</f>
        <v>0</v>
      </c>
      <c r="E18" s="190">
        <v>0</v>
      </c>
      <c r="F18" s="190">
        <v>0</v>
      </c>
      <c r="G18" s="190">
        <v>0</v>
      </c>
      <c r="H18" s="190">
        <f>'Emissions 2010_2014_2017'!AH33</f>
        <v>22.677996999999994</v>
      </c>
      <c r="I18" s="191">
        <f>'Emissions 2010_2014_2017'!AJ33</f>
        <v>2.2677996999999994</v>
      </c>
      <c r="J18" s="1150"/>
      <c r="K18" s="1143">
        <f t="shared" si="1"/>
        <v>22.677996999999994</v>
      </c>
      <c r="L18" s="529">
        <f t="shared" si="3"/>
        <v>22.677996999999994</v>
      </c>
      <c r="M18" s="531"/>
      <c r="N18" s="959">
        <f t="shared" si="2"/>
        <v>9.1903374626676661E-3</v>
      </c>
      <c r="O18" s="1"/>
    </row>
    <row r="19" spans="2:15" ht="76.5" customHeight="1" thickBot="1" x14ac:dyDescent="0.25">
      <c r="B19" s="1077"/>
      <c r="C19" s="549" t="s">
        <v>22</v>
      </c>
      <c r="D19" s="99"/>
      <c r="E19" s="99"/>
      <c r="F19" s="99"/>
      <c r="G19" s="99"/>
      <c r="H19" s="191">
        <f>'Emissions 2010_2014_2017'!AH34</f>
        <v>22.370961000000001</v>
      </c>
      <c r="I19" s="191">
        <f>'Emissions 2010_2014_2017'!AJ34</f>
        <v>2.2370961</v>
      </c>
      <c r="J19" s="1150"/>
      <c r="K19" s="1143">
        <f t="shared" si="1"/>
        <v>22.370961000000001</v>
      </c>
      <c r="L19" s="529"/>
      <c r="M19" s="529"/>
      <c r="N19" s="959">
        <f t="shared" si="2"/>
        <v>9.0659100516759638E-3</v>
      </c>
      <c r="O19" s="27" t="s">
        <v>230</v>
      </c>
    </row>
    <row r="20" spans="2:15" ht="16.5" customHeight="1" thickBot="1" x14ac:dyDescent="0.25">
      <c r="B20" s="1078"/>
      <c r="C20" s="550" t="s">
        <v>2</v>
      </c>
      <c r="D20" s="98">
        <f>'Emissions 2010_2014_2017'!L35</f>
        <v>339.91779064999992</v>
      </c>
      <c r="E20" s="97"/>
      <c r="F20" s="98">
        <f>'Emissions 2010_2014_2017'!W35</f>
        <v>330.92269429999993</v>
      </c>
      <c r="G20" s="97"/>
      <c r="H20" s="98">
        <f>SUM(H13:H19)</f>
        <v>369.61059719999997</v>
      </c>
      <c r="I20" s="97"/>
      <c r="J20" s="1149"/>
      <c r="K20" s="98">
        <f>SUM(K13:K19)</f>
        <v>307.82099451999994</v>
      </c>
      <c r="L20" s="529"/>
      <c r="M20" s="529"/>
      <c r="N20" s="959">
        <f t="shared" si="2"/>
        <v>0.14978598498121898</v>
      </c>
      <c r="O20" s="1"/>
    </row>
    <row r="21" spans="2:15" ht="38.25" customHeight="1" thickBot="1" x14ac:dyDescent="0.25">
      <c r="B21" s="584" t="s">
        <v>6</v>
      </c>
      <c r="C21" s="583" t="s">
        <v>46</v>
      </c>
      <c r="D21" s="192">
        <f>'Emissions 2010_2014_2017'!L36</f>
        <v>171.7156808</v>
      </c>
      <c r="E21" s="193">
        <f>'Emissions 2010_2014_2017'!M36</f>
        <v>8.5857840400000001</v>
      </c>
      <c r="F21" s="192">
        <f>'Emissions 2010_2014_2017'!W36</f>
        <v>118.9673116</v>
      </c>
      <c r="G21" s="193">
        <f>'Emissions 2010_2014_2017'!Y36</f>
        <v>5.9483655800000008</v>
      </c>
      <c r="H21" s="192">
        <f>'Emissions 2010_2014_2017'!AH36</f>
        <v>154.655756</v>
      </c>
      <c r="I21" s="193">
        <f>'Emissions 2010_2014_2017'!AJ36</f>
        <v>7.7327878000000005</v>
      </c>
      <c r="J21" s="1151">
        <v>0.3</v>
      </c>
      <c r="K21" s="1143">
        <f t="shared" si="1"/>
        <v>108.25902919999999</v>
      </c>
      <c r="L21" s="529">
        <f>H21-F21</f>
        <v>35.688444399999995</v>
      </c>
      <c r="M21" s="529"/>
      <c r="N21" s="959">
        <f t="shared" si="2"/>
        <v>6.2674785087236312E-2</v>
      </c>
      <c r="O21" s="1"/>
    </row>
    <row r="22" spans="2:15" ht="43.5" customHeight="1" thickBot="1" x14ac:dyDescent="0.25">
      <c r="B22" s="584"/>
      <c r="C22" s="583" t="s">
        <v>47</v>
      </c>
      <c r="D22" s="536">
        <f>'Emissions 2010_2014_2017'!L37</f>
        <v>13.174164000000001</v>
      </c>
      <c r="E22" s="193">
        <f>'Emissions 2010_2014_2017'!M37</f>
        <v>1.3174164000000002</v>
      </c>
      <c r="F22" s="536">
        <f>'Emissions 2010_2014_2017'!W37</f>
        <v>10.4503734</v>
      </c>
      <c r="G22" s="193">
        <f>'Emissions 2010_2014_2017'!Y37</f>
        <v>1.0450373400000001</v>
      </c>
      <c r="H22" s="193">
        <f>'Emissions 2010_2014_2017'!AH37</f>
        <v>8.3821045499999993</v>
      </c>
      <c r="I22" s="193">
        <f>'Emissions 2010_2014_2017'!AJ37</f>
        <v>0.83821045500000002</v>
      </c>
      <c r="J22" s="1151">
        <v>0.8</v>
      </c>
      <c r="K22" s="1143">
        <f t="shared" si="1"/>
        <v>1.6764209099999996</v>
      </c>
      <c r="L22" s="529">
        <f t="shared" ref="L22:L30" si="4">H22-F22</f>
        <v>-2.0682688500000008</v>
      </c>
      <c r="M22" s="530"/>
      <c r="N22" s="959">
        <f t="shared" si="2"/>
        <v>3.3968771343369569E-3</v>
      </c>
      <c r="O22" s="1"/>
    </row>
    <row r="23" spans="2:15" ht="61.5" customHeight="1" thickBot="1" x14ac:dyDescent="0.25">
      <c r="B23" s="584"/>
      <c r="C23" s="582" t="s">
        <v>166</v>
      </c>
      <c r="D23" s="240">
        <f>'Emissions 2010_2014_2017'!L38</f>
        <v>0.38846751000000002</v>
      </c>
      <c r="E23" s="240">
        <f>'Emissions 2010_2014_2017'!M38</f>
        <v>3.8846751000000006E-2</v>
      </c>
      <c r="F23" s="193">
        <f>'Emissions 2010_2014_2017'!W38</f>
        <v>5.2700000000000004E-3</v>
      </c>
      <c r="G23" s="193">
        <f>'Emissions 2010_2014_2017'!Y38</f>
        <v>5.2700000000000002E-4</v>
      </c>
      <c r="H23" s="538">
        <f>'Emissions 2010_2014_2017'!AH38</f>
        <v>3.1567300000000004E-3</v>
      </c>
      <c r="I23" s="193">
        <f>'Emissions 2010_2014_2017'!AJ38</f>
        <v>3.1567300000000004E-4</v>
      </c>
      <c r="J23" s="1151"/>
      <c r="K23" s="1143">
        <f t="shared" si="1"/>
        <v>3.1567300000000004E-3</v>
      </c>
      <c r="L23" s="529">
        <f t="shared" si="4"/>
        <v>-2.11327E-3</v>
      </c>
      <c r="M23" s="532"/>
      <c r="N23" s="959">
        <f t="shared" si="2"/>
        <v>1.2792758539710059E-6</v>
      </c>
      <c r="O23" s="235"/>
    </row>
    <row r="24" spans="2:15" ht="24.75" customHeight="1" thickBot="1" x14ac:dyDescent="0.25">
      <c r="B24" s="584"/>
      <c r="C24" s="554" t="s">
        <v>45</v>
      </c>
      <c r="D24" s="540" t="e">
        <f>'Emissions 2010_2014_2017'!L44+'Emissions 2010_2014_2017'!L47+'Emissions 2010_2014_2017'!L48+'Emissions 2010_2014_2017'!L49</f>
        <v>#VALUE!</v>
      </c>
      <c r="E24" s="540" t="e">
        <f>'Emissions 2010_2014_2017'!M44+'Emissions 2010_2014_2017'!M47+'Emissions 2010_2014_2017'!M48+'Emissions 2010_2014_2017'!M49</f>
        <v>#VALUE!</v>
      </c>
      <c r="F24" s="540">
        <f>'Emissions 2010_2014_2017'!W44+'Emissions 2010_2014_2017'!W47+'Emissions 2010_2014_2017'!W48+'Emissions 2010_2014_2017'!W49</f>
        <v>2.2080564999999996</v>
      </c>
      <c r="G24" s="540">
        <f>'Emissions 2010_2014_2017'!Y44+'Emissions 2010_2014_2017'!Y47+'Emissions 2010_2014_2017'!Y48+'Emissions 2010_2014_2017'!Y49</f>
        <v>1.0789482499999998</v>
      </c>
      <c r="H24" s="541">
        <f>'Emissions 2010_2014_2017'!AH44+'Emissions 2010_2014_2017'!AH47+'Emissions 2010_2014_2017'!AH48+'Emissions 2010_2014_2017'!AH49</f>
        <v>3.1842915000000001</v>
      </c>
      <c r="I24" s="540">
        <f>'Emissions 2010_2014_2017'!AJ44+'Emissions 2010_2014_2017'!AJ47+'Emissions 2010_2014_2017'!AJ48+'Emissions 2010_2014_2017'!AJ49</f>
        <v>1.2944407500000001</v>
      </c>
      <c r="J24" s="1152"/>
      <c r="K24" s="1143">
        <f t="shared" si="1"/>
        <v>3.1842915000000001</v>
      </c>
      <c r="L24" s="529">
        <f t="shared" si="4"/>
        <v>0.97623500000000041</v>
      </c>
      <c r="M24" s="533"/>
      <c r="N24" s="959">
        <f t="shared" si="2"/>
        <v>1.2904452480747845E-3</v>
      </c>
      <c r="O24" s="241" t="s">
        <v>124</v>
      </c>
    </row>
    <row r="25" spans="2:15" ht="24.75" customHeight="1" thickBot="1" x14ac:dyDescent="0.25">
      <c r="B25" s="957"/>
      <c r="C25" s="554" t="s">
        <v>215</v>
      </c>
      <c r="D25" s="540">
        <f>SUM('Emissions 2010_2014_2017'!L53:L56)</f>
        <v>700.77151521818178</v>
      </c>
      <c r="E25" s="540">
        <f>0.2*D25</f>
        <v>140.15430304363636</v>
      </c>
      <c r="F25" s="960">
        <f>SUM('Emissions 2010_2014_2017'!W53:W56)</f>
        <v>787.30508682000004</v>
      </c>
      <c r="G25" s="540">
        <f>0.5*F25</f>
        <v>393.65254341000002</v>
      </c>
      <c r="H25" s="961">
        <f>SUM('Emissions 2010_2014_2017'!AH53:AH56)</f>
        <v>802.66713729453647</v>
      </c>
      <c r="I25" s="540">
        <f>0.5*H25</f>
        <v>401.33356864726824</v>
      </c>
      <c r="J25" s="1152">
        <v>0.15</v>
      </c>
      <c r="K25" s="1143">
        <f t="shared" si="1"/>
        <v>682.26706670035594</v>
      </c>
      <c r="L25" s="529">
        <f t="shared" si="4"/>
        <v>15.362050474536431</v>
      </c>
      <c r="M25" s="533"/>
      <c r="N25" s="959">
        <f t="shared" si="2"/>
        <v>0.32528365983689789</v>
      </c>
      <c r="O25" s="241" t="s">
        <v>216</v>
      </c>
    </row>
    <row r="26" spans="2:15" ht="27" customHeight="1" thickBot="1" x14ac:dyDescent="0.25">
      <c r="B26" s="584"/>
      <c r="C26" s="539" t="s">
        <v>39</v>
      </c>
      <c r="D26" s="192">
        <f>'Emissions 2010_2014_2017'!L57</f>
        <v>4.2956443125000003</v>
      </c>
      <c r="E26" s="192">
        <f>'Emissions 2010_2014_2017'!M57</f>
        <v>2.5773865874999999</v>
      </c>
      <c r="F26" s="194">
        <v>2</v>
      </c>
      <c r="G26" s="192">
        <v>1.25</v>
      </c>
      <c r="H26" s="597">
        <f>'Emissions 2010_2014_2017'!AH57</f>
        <v>1.5071611644</v>
      </c>
      <c r="I26" s="192">
        <f>'Emissions 2010_2014_2017'!AJ57</f>
        <v>0.90429669863999995</v>
      </c>
      <c r="J26" s="1151"/>
      <c r="K26" s="1143">
        <f t="shared" si="1"/>
        <v>1.5071611644</v>
      </c>
      <c r="L26" s="529">
        <f t="shared" si="4"/>
        <v>-0.49283883559999997</v>
      </c>
      <c r="M26" s="529"/>
      <c r="N26" s="959">
        <f t="shared" si="2"/>
        <v>6.1078232400609033E-4</v>
      </c>
    </row>
    <row r="27" spans="2:15" ht="21" customHeight="1" thickBot="1" x14ac:dyDescent="0.25">
      <c r="B27" s="584"/>
      <c r="C27" s="539" t="s">
        <v>40</v>
      </c>
      <c r="D27" s="192">
        <f>'Emissions 2010_2014_2017'!G58</f>
        <v>159.02761150705265</v>
      </c>
      <c r="E27" s="192">
        <f>'Emissions 2010_2014_2017'!M58</f>
        <v>79.513805753526327</v>
      </c>
      <c r="F27" s="192">
        <v>202</v>
      </c>
      <c r="G27" s="192">
        <v>100.84</v>
      </c>
      <c r="H27" s="192">
        <f>'Emissions 2010_2014_2017'!AH58</f>
        <v>230.35702631999999</v>
      </c>
      <c r="I27" s="192">
        <f>'Emissions 2010_2014_2017'!AJ58</f>
        <v>115.17851315999999</v>
      </c>
      <c r="J27" s="1151">
        <v>0.15</v>
      </c>
      <c r="K27" s="1143">
        <f t="shared" si="1"/>
        <v>195.80347237199999</v>
      </c>
      <c r="L27" s="529">
        <f t="shared" si="4"/>
        <v>28.357026319999989</v>
      </c>
      <c r="M27" s="529"/>
      <c r="N27" s="959">
        <f t="shared" si="2"/>
        <v>9.3352989189363494E-2</v>
      </c>
      <c r="O27" s="27"/>
    </row>
    <row r="28" spans="2:15" ht="64.5" thickBot="1" x14ac:dyDescent="0.25">
      <c r="B28" s="584"/>
      <c r="C28" s="554" t="s">
        <v>51</v>
      </c>
      <c r="D28" s="555">
        <f>'Emissions 2010_2014_2017'!L84+'Emissions 2010_2014_2017'!L97</f>
        <v>409.81360699999993</v>
      </c>
      <c r="E28" s="555">
        <f>'Emissions 2010_2014_2017'!M84+'Emissions 2010_2014_2017'!M97</f>
        <v>204.90680349999997</v>
      </c>
      <c r="F28" s="555">
        <f>'Emissions 2010_2014_2017'!W84+'Emissions 2010_2014_2017'!W97</f>
        <v>349.80037699999997</v>
      </c>
      <c r="G28" s="555">
        <f>'Emissions 2010_2014_2017'!Y84+'Emissions 2010_2014_2017'!Y97</f>
        <v>174.90018849999998</v>
      </c>
      <c r="H28" s="555">
        <f>'Emissions 2010_2014_2017'!AH84+'Emissions 2010_2014_2017'!AH97</f>
        <v>443.61402822000002</v>
      </c>
      <c r="I28" s="555">
        <f>'Emissions 2010_2014_2017'!AJ84+'Emissions 2010_2014_2017'!AJ97+SUM('Emissions 2010_2014_2017'!AJ72:AJ83)</f>
        <v>300.93205740000002</v>
      </c>
      <c r="J28" s="1153"/>
      <c r="K28" s="1143">
        <f t="shared" si="1"/>
        <v>443.61402822000002</v>
      </c>
      <c r="L28" s="529">
        <f t="shared" si="4"/>
        <v>93.813651220000054</v>
      </c>
      <c r="M28" s="533"/>
      <c r="N28" s="959">
        <f t="shared" si="2"/>
        <v>0.17977613377915069</v>
      </c>
      <c r="O28" s="27" t="s">
        <v>170</v>
      </c>
    </row>
    <row r="29" spans="2:15" ht="39" thickBot="1" x14ac:dyDescent="0.25">
      <c r="B29" s="957"/>
      <c r="C29" s="554" t="s">
        <v>218</v>
      </c>
      <c r="D29" s="555"/>
      <c r="E29" s="555"/>
      <c r="F29" s="555"/>
      <c r="G29" s="555"/>
      <c r="H29" s="555">
        <f>SUM('Emissions 2010_2014_2017'!AH72:AH83)</f>
        <v>185.08394358000001</v>
      </c>
      <c r="I29" s="555"/>
      <c r="J29" s="1153"/>
      <c r="K29" s="1143">
        <f t="shared" si="1"/>
        <v>185.08394358000001</v>
      </c>
      <c r="L29" s="529">
        <f t="shared" si="4"/>
        <v>185.08394358000001</v>
      </c>
      <c r="M29" s="533"/>
      <c r="N29" s="959">
        <f t="shared" si="2"/>
        <v>7.5005914341621224E-2</v>
      </c>
      <c r="O29" s="27"/>
    </row>
    <row r="30" spans="2:15" ht="26.25" customHeight="1" thickBot="1" x14ac:dyDescent="0.25">
      <c r="B30" s="584"/>
      <c r="C30" s="599" t="s">
        <v>49</v>
      </c>
      <c r="D30" s="598">
        <v>0</v>
      </c>
      <c r="E30" s="193">
        <v>0</v>
      </c>
      <c r="F30" s="192">
        <v>0</v>
      </c>
      <c r="G30" s="192">
        <v>0</v>
      </c>
      <c r="H30" s="192">
        <f>'Emissions 2010_2014_2017'!AH40+'Emissions 2010_2014_2017'!AH41+'Emissions 2010_2014_2017'!AH42+'Emissions 2010_2014_2017'!AH43+'Emissions 2010_2014_2017'!AH112</f>
        <v>638.13671999999997</v>
      </c>
      <c r="I30" s="192">
        <f>'Emissions 2010_2014_2017'!AJ112+'Emissions 2010_2014_2017'!AJ43+'Emissions 2010_2014_2017'!AJ42+'Emissions 2010_2014_2017'!AJ41+'Emissions 2010_2014_2017'!AJ40</f>
        <v>319.06835999999998</v>
      </c>
      <c r="J30" s="1151"/>
      <c r="K30" s="1143">
        <f t="shared" si="1"/>
        <v>638.13671999999997</v>
      </c>
      <c r="L30" s="529">
        <f t="shared" si="4"/>
        <v>638.13671999999997</v>
      </c>
      <c r="M30" s="529"/>
      <c r="N30" s="959">
        <f t="shared" si="2"/>
        <v>0.2586071337834584</v>
      </c>
      <c r="O30" s="27"/>
    </row>
    <row r="31" spans="2:15" ht="26.25" thickBot="1" x14ac:dyDescent="0.25">
      <c r="B31" s="584"/>
      <c r="C31" s="551" t="s">
        <v>50</v>
      </c>
      <c r="D31" s="195">
        <f>'Emissions 2010_2014_2017'!L52</f>
        <v>0</v>
      </c>
      <c r="E31" s="195">
        <f>'Emissions 2010_2014_2017'!M52</f>
        <v>0</v>
      </c>
      <c r="F31" s="196">
        <v>0</v>
      </c>
      <c r="G31" s="196">
        <v>0</v>
      </c>
      <c r="H31" s="196">
        <v>0</v>
      </c>
      <c r="I31" s="196">
        <v>0</v>
      </c>
      <c r="J31" s="1154"/>
      <c r="K31" s="1143">
        <f t="shared" si="1"/>
        <v>0</v>
      </c>
      <c r="L31" s="529"/>
      <c r="M31" s="529"/>
      <c r="N31" s="959">
        <f t="shared" si="2"/>
        <v>0</v>
      </c>
      <c r="O31" s="27"/>
    </row>
    <row r="32" spans="2:15" ht="26.25" thickBot="1" x14ac:dyDescent="0.25">
      <c r="B32" s="584"/>
      <c r="C32" s="552" t="s">
        <v>48</v>
      </c>
      <c r="D32" s="197">
        <f>'Emissions 2010_2014_2017'!L39</f>
        <v>0</v>
      </c>
      <c r="E32" s="195">
        <f>'Emissions 2010_2014_2017'!M39</f>
        <v>0</v>
      </c>
      <c r="F32" s="196">
        <v>0</v>
      </c>
      <c r="G32" s="196">
        <v>0</v>
      </c>
      <c r="H32" s="196">
        <v>0</v>
      </c>
      <c r="I32" s="196">
        <v>0</v>
      </c>
      <c r="J32" s="1154"/>
      <c r="K32" s="1143">
        <f t="shared" si="1"/>
        <v>0</v>
      </c>
      <c r="L32" s="529"/>
      <c r="M32" s="529"/>
      <c r="N32" s="959">
        <f t="shared" si="2"/>
        <v>0</v>
      </c>
      <c r="O32" s="27"/>
    </row>
    <row r="33" spans="2:15" ht="13.5" thickBot="1" x14ac:dyDescent="0.25">
      <c r="B33" s="584"/>
      <c r="C33" s="552" t="s">
        <v>28</v>
      </c>
      <c r="D33" s="195">
        <f>'Emissions 2010_2014_2017'!L113</f>
        <v>0</v>
      </c>
      <c r="E33" s="195">
        <f>'Emissions 2010_2014_2017'!M113</f>
        <v>0</v>
      </c>
      <c r="F33" s="196">
        <v>0</v>
      </c>
      <c r="G33" s="196">
        <v>0</v>
      </c>
      <c r="H33" s="196">
        <v>0</v>
      </c>
      <c r="I33" s="196">
        <v>0</v>
      </c>
      <c r="J33" s="1154"/>
      <c r="K33" s="1143">
        <f t="shared" si="1"/>
        <v>0</v>
      </c>
      <c r="L33" s="529"/>
      <c r="M33" s="529"/>
      <c r="N33" s="959">
        <f t="shared" si="2"/>
        <v>0</v>
      </c>
      <c r="O33" s="603"/>
    </row>
    <row r="34" spans="2:15" ht="26.25" thickBot="1" x14ac:dyDescent="0.25">
      <c r="B34" s="584"/>
      <c r="C34" s="552" t="s">
        <v>29</v>
      </c>
      <c r="D34" s="195">
        <f>'Emissions 2010_2014_2017'!L114</f>
        <v>0</v>
      </c>
      <c r="E34" s="195">
        <f>'Emissions 2010_2014_2017'!M114</f>
        <v>0</v>
      </c>
      <c r="F34" s="196">
        <v>0</v>
      </c>
      <c r="G34" s="196">
        <v>0</v>
      </c>
      <c r="H34" s="196">
        <v>0</v>
      </c>
      <c r="I34" s="196">
        <v>0</v>
      </c>
      <c r="J34" s="1154"/>
      <c r="K34" s="1143">
        <f t="shared" si="1"/>
        <v>0</v>
      </c>
      <c r="L34" s="529"/>
      <c r="M34" s="529"/>
      <c r="N34" s="959">
        <f t="shared" si="2"/>
        <v>0</v>
      </c>
      <c r="O34" s="27"/>
    </row>
    <row r="35" spans="2:15" ht="13.5" thickBot="1" x14ac:dyDescent="0.25">
      <c r="B35" s="584"/>
      <c r="C35" s="552" t="s">
        <v>30</v>
      </c>
      <c r="D35" s="195">
        <f>'Emissions 2010_2014_2017'!L115</f>
        <v>0</v>
      </c>
      <c r="E35" s="195">
        <f>'Emissions 2010_2014_2017'!M115</f>
        <v>0</v>
      </c>
      <c r="F35" s="196">
        <v>0</v>
      </c>
      <c r="G35" s="196">
        <v>0</v>
      </c>
      <c r="H35" s="196">
        <v>0</v>
      </c>
      <c r="I35" s="196">
        <v>0</v>
      </c>
      <c r="J35" s="1154"/>
      <c r="K35" s="1143">
        <f t="shared" si="1"/>
        <v>0</v>
      </c>
      <c r="L35" s="529"/>
      <c r="M35" s="529"/>
      <c r="N35" s="959">
        <f t="shared" si="2"/>
        <v>0</v>
      </c>
      <c r="O35" s="27"/>
    </row>
    <row r="36" spans="2:15" ht="26.25" thickBot="1" x14ac:dyDescent="0.25">
      <c r="B36" s="584"/>
      <c r="C36" s="552" t="s">
        <v>31</v>
      </c>
      <c r="D36" s="195">
        <f>'Emissions 2010_2014_2017'!L116</f>
        <v>0</v>
      </c>
      <c r="E36" s="195">
        <f>'Emissions 2010_2014_2017'!M116</f>
        <v>0</v>
      </c>
      <c r="F36" s="196">
        <v>0</v>
      </c>
      <c r="G36" s="196">
        <v>0</v>
      </c>
      <c r="H36" s="196">
        <v>0</v>
      </c>
      <c r="I36" s="196">
        <v>0</v>
      </c>
      <c r="J36" s="1154"/>
      <c r="K36" s="1143">
        <f t="shared" si="1"/>
        <v>0</v>
      </c>
      <c r="L36" s="529"/>
      <c r="M36" s="529"/>
      <c r="N36" s="959">
        <f t="shared" si="2"/>
        <v>0</v>
      </c>
      <c r="O36" s="27"/>
    </row>
    <row r="37" spans="2:15" ht="13.5" thickBot="1" x14ac:dyDescent="0.25">
      <c r="B37" s="585"/>
      <c r="C37" s="553" t="s">
        <v>2</v>
      </c>
      <c r="D37" s="198" t="e">
        <f>'Emissions 2010_2014_2017'!L117</f>
        <v>#VALUE!</v>
      </c>
      <c r="E37" s="186"/>
      <c r="F37" s="198">
        <f>'Emissions 2010_2014_2017'!W117</f>
        <v>685.20886226300001</v>
      </c>
      <c r="G37" s="185"/>
      <c r="H37" s="198">
        <f>SUM(H21:H36)</f>
        <v>2467.591325358937</v>
      </c>
      <c r="I37" s="185">
        <f>SUM(H21:H28)</f>
        <v>1644.3706617789367</v>
      </c>
      <c r="J37" s="529"/>
      <c r="K37" s="198">
        <f>SUM(K21:K36)</f>
        <v>2259.5352903767562</v>
      </c>
      <c r="L37" s="529"/>
      <c r="M37" s="529"/>
      <c r="N37" s="959">
        <f t="shared" si="2"/>
        <v>1</v>
      </c>
    </row>
    <row r="38" spans="2:15" x14ac:dyDescent="0.2">
      <c r="N38" s="959">
        <f t="shared" si="2"/>
        <v>0</v>
      </c>
    </row>
    <row r="39" spans="2:15" x14ac:dyDescent="0.2">
      <c r="B39" s="2" t="s">
        <v>41</v>
      </c>
      <c r="C39" s="34"/>
      <c r="D39" s="35">
        <v>2010</v>
      </c>
      <c r="E39" s="35" t="s">
        <v>74</v>
      </c>
      <c r="F39" s="35">
        <v>2014</v>
      </c>
      <c r="G39" s="35" t="s">
        <v>74</v>
      </c>
      <c r="H39" s="35">
        <v>2017</v>
      </c>
      <c r="I39" s="35" t="s">
        <v>74</v>
      </c>
      <c r="J39" s="1144"/>
      <c r="K39" s="1144" t="s">
        <v>278</v>
      </c>
      <c r="L39" s="534"/>
      <c r="M39" s="534"/>
      <c r="N39" s="959">
        <f t="shared" si="2"/>
        <v>0.81739629219461862</v>
      </c>
    </row>
    <row r="40" spans="2:15" ht="38.25" customHeight="1" x14ac:dyDescent="0.2">
      <c r="C40" s="591" t="s">
        <v>3</v>
      </c>
      <c r="D40" s="36">
        <f>D12</f>
        <v>1258.5341551499998</v>
      </c>
      <c r="E40" s="37">
        <f>D40/'Données de consommation'!$E$5</f>
        <v>2.8865462274082563</v>
      </c>
      <c r="F40" s="36">
        <f>F12</f>
        <v>904.97335324999995</v>
      </c>
      <c r="G40" s="37">
        <f>F40/'Données de consommation'!$H$5</f>
        <v>2.2072520810975607</v>
      </c>
      <c r="H40" s="36">
        <f>H12</f>
        <v>1080.3486287000001</v>
      </c>
      <c r="I40" s="37">
        <f>H40/'Données de consommation'!$K$5</f>
        <v>2.584566097368421</v>
      </c>
      <c r="J40" s="1145"/>
      <c r="K40" s="36">
        <f>K12</f>
        <v>897.55148850000012</v>
      </c>
      <c r="L40" s="530"/>
      <c r="M40" s="530"/>
      <c r="N40" s="959">
        <f t="shared" si="2"/>
        <v>0.43781505373174062</v>
      </c>
    </row>
    <row r="41" spans="2:15" ht="60.75" customHeight="1" x14ac:dyDescent="0.2">
      <c r="C41" s="591" t="s">
        <v>8</v>
      </c>
      <c r="D41" s="36">
        <f>D20</f>
        <v>339.91779064999992</v>
      </c>
      <c r="E41" s="37">
        <f>D41/'Données de consommation'!$E$5</f>
        <v>0.77962796020642178</v>
      </c>
      <c r="F41" s="36">
        <f>F20</f>
        <v>330.92269429999993</v>
      </c>
      <c r="G41" s="37">
        <f>F41/'Données de consommation'!$H$5</f>
        <v>0.80712852268292667</v>
      </c>
      <c r="H41" s="36">
        <f>H20</f>
        <v>369.61059719999997</v>
      </c>
      <c r="I41" s="37">
        <f>H41/'Données de consommation'!$K$5</f>
        <v>0.88423587846889951</v>
      </c>
      <c r="J41" s="1145"/>
      <c r="K41" s="36">
        <f>K20</f>
        <v>307.82099451999994</v>
      </c>
      <c r="L41" s="530"/>
      <c r="M41" s="530"/>
      <c r="N41" s="959">
        <f t="shared" si="2"/>
        <v>0.14978598498121898</v>
      </c>
    </row>
    <row r="42" spans="2:15" ht="45.75" customHeight="1" x14ac:dyDescent="0.2">
      <c r="C42" s="591" t="s">
        <v>219</v>
      </c>
      <c r="D42" s="36" t="e">
        <f>D37</f>
        <v>#VALUE!</v>
      </c>
      <c r="E42" s="242" t="e">
        <f>D42/'Données de consommation'!E5</f>
        <v>#VALUE!</v>
      </c>
      <c r="F42" s="36">
        <f>F37</f>
        <v>685.20886226300001</v>
      </c>
      <c r="G42" s="242">
        <f>F42/'Données de consommation'!H5</f>
        <v>1.6712411274707317</v>
      </c>
      <c r="H42" s="36">
        <f>H37-H29-H30</f>
        <v>1644.3706617789371</v>
      </c>
      <c r="I42" s="37">
        <f>H42/'Données de consommation'!$K$5</f>
        <v>3.9339011047342995</v>
      </c>
      <c r="J42" s="1145"/>
      <c r="K42" s="36">
        <f>K37-K29-K30</f>
        <v>1436.3146267967563</v>
      </c>
      <c r="L42" s="959">
        <f>H42/(SUM(H40:H42))</f>
        <v>0.53141414182325042</v>
      </c>
      <c r="M42" s="531"/>
      <c r="N42" s="959">
        <f t="shared" si="2"/>
        <v>0.66638695187492047</v>
      </c>
      <c r="O42" s="27" t="s">
        <v>77</v>
      </c>
    </row>
    <row r="43" spans="2:15" ht="38.25" x14ac:dyDescent="0.2">
      <c r="B43" s="19"/>
      <c r="C43" s="592" t="s">
        <v>76</v>
      </c>
      <c r="D43" s="33">
        <f t="shared" ref="D43:K43" si="5">SUM(D40:D41)</f>
        <v>1598.4519457999997</v>
      </c>
      <c r="E43" s="243">
        <f t="shared" si="5"/>
        <v>3.6661741876146783</v>
      </c>
      <c r="F43" s="33">
        <f t="shared" si="5"/>
        <v>1235.8960475499998</v>
      </c>
      <c r="G43" s="243">
        <f t="shared" si="5"/>
        <v>3.0143806037804874</v>
      </c>
      <c r="H43" s="33">
        <f t="shared" si="5"/>
        <v>1449.9592259000001</v>
      </c>
      <c r="I43" s="243">
        <f t="shared" si="5"/>
        <v>3.4688019758373203</v>
      </c>
      <c r="J43" s="1146"/>
      <c r="K43" s="33">
        <f t="shared" si="5"/>
        <v>1205.3724830200001</v>
      </c>
      <c r="L43" s="535">
        <f>(K43-H43)/H43</f>
        <v>-0.16868525577206023</v>
      </c>
      <c r="M43" s="535"/>
      <c r="N43" s="959">
        <f t="shared" si="2"/>
        <v>0.58760103871295966</v>
      </c>
    </row>
    <row r="44" spans="2:15" ht="73.5" customHeight="1" x14ac:dyDescent="0.2">
      <c r="B44" s="19"/>
      <c r="C44" s="592" t="s">
        <v>217</v>
      </c>
      <c r="D44" s="33">
        <f>D27+D28</f>
        <v>568.84121850705264</v>
      </c>
      <c r="E44" s="243">
        <f>D44/'Données de consommation'!$E$5</f>
        <v>1.3046816938235153</v>
      </c>
      <c r="F44" s="33">
        <f>F27+F28</f>
        <v>551.80037700000003</v>
      </c>
      <c r="G44" s="243">
        <f>F44/'Données de consommation'!$H$5</f>
        <v>1.3458545780487805</v>
      </c>
      <c r="H44" s="33">
        <f>H27+H28</f>
        <v>673.97105454000007</v>
      </c>
      <c r="I44" s="243">
        <f>H44/'Données de consommation'!$K$5</f>
        <v>1.6123709438755982</v>
      </c>
      <c r="J44" s="1146"/>
      <c r="K44" s="1146"/>
      <c r="L44" s="962">
        <f>H44/H45</f>
        <v>0.17203889157816074</v>
      </c>
      <c r="M44" s="535"/>
      <c r="N44" s="959">
        <f t="shared" si="2"/>
        <v>0.27312912296851422</v>
      </c>
    </row>
    <row r="45" spans="2:15" ht="73.5" customHeight="1" x14ac:dyDescent="0.2">
      <c r="B45" s="19"/>
      <c r="C45" s="592" t="s">
        <v>220</v>
      </c>
      <c r="D45" s="33" t="e">
        <f>D43+D37</f>
        <v>#VALUE!</v>
      </c>
      <c r="E45" s="243" t="e">
        <f>D45/'Données de consommation'!$E$5</f>
        <v>#VALUE!</v>
      </c>
      <c r="F45" s="33">
        <f>F43+F37</f>
        <v>1921.1049098129997</v>
      </c>
      <c r="G45" s="243">
        <f>F45/'Données de consommation'!$H$5</f>
        <v>4.6856217312512189</v>
      </c>
      <c r="H45" s="33">
        <f>H43+H37</f>
        <v>3917.550551258937</v>
      </c>
      <c r="I45" s="243">
        <f>H45/'Données de consommation'!$K$5</f>
        <v>9.3721305054041562</v>
      </c>
      <c r="J45" s="1146"/>
      <c r="K45" s="1146"/>
      <c r="L45" s="535"/>
      <c r="M45" s="535"/>
      <c r="N45" s="959">
        <f t="shared" si="2"/>
        <v>1.5876010387129595</v>
      </c>
    </row>
    <row r="46" spans="2:15" x14ac:dyDescent="0.2">
      <c r="B46" s="19"/>
      <c r="C46" s="19"/>
    </row>
    <row r="47" spans="2:15" x14ac:dyDescent="0.2">
      <c r="B47" s="210" t="s">
        <v>70</v>
      </c>
      <c r="C47" s="92"/>
      <c r="D47" s="209"/>
      <c r="E47" s="209"/>
      <c r="F47" s="209"/>
      <c r="G47" s="209"/>
      <c r="H47" s="209"/>
      <c r="I47" s="209"/>
      <c r="J47" s="209"/>
      <c r="K47" s="209"/>
      <c r="O47" s="209"/>
    </row>
    <row r="48" spans="2:15" x14ac:dyDescent="0.2">
      <c r="B48" s="28" t="s">
        <v>71</v>
      </c>
      <c r="C48" s="26"/>
      <c r="D48" s="29"/>
      <c r="E48" s="29"/>
      <c r="F48" s="29"/>
      <c r="G48" s="29"/>
      <c r="H48" s="29"/>
      <c r="I48" s="29"/>
      <c r="J48" s="29"/>
      <c r="K48" s="29"/>
      <c r="O48" s="29"/>
    </row>
    <row r="49" spans="2:15" x14ac:dyDescent="0.2">
      <c r="B49" s="30" t="s">
        <v>122</v>
      </c>
      <c r="C49" s="31"/>
      <c r="D49" s="32"/>
      <c r="E49" s="32"/>
      <c r="F49" s="32"/>
      <c r="G49" s="32"/>
      <c r="H49" s="32"/>
      <c r="I49" s="32"/>
      <c r="J49" s="32"/>
      <c r="K49" s="32"/>
      <c r="O49" s="32"/>
    </row>
    <row r="50" spans="2:15" x14ac:dyDescent="0.2">
      <c r="B50" s="14" t="s">
        <v>7</v>
      </c>
      <c r="C50" s="19"/>
    </row>
    <row r="51" spans="2:15" x14ac:dyDescent="0.2">
      <c r="B51" s="19"/>
      <c r="C51" s="19"/>
    </row>
    <row r="52" spans="2:15" x14ac:dyDescent="0.2">
      <c r="B52" s="19"/>
      <c r="C52" s="19"/>
    </row>
    <row r="53" spans="2:15" x14ac:dyDescent="0.2">
      <c r="B53" s="19"/>
      <c r="C53" s="19"/>
    </row>
    <row r="54" spans="2:15" x14ac:dyDescent="0.2">
      <c r="B54" s="19"/>
      <c r="C54" s="19"/>
    </row>
    <row r="55" spans="2:15" x14ac:dyDescent="0.2">
      <c r="B55" s="19"/>
      <c r="C55" s="19"/>
    </row>
    <row r="56" spans="2:15" x14ac:dyDescent="0.2">
      <c r="B56" s="19"/>
      <c r="C56" s="19"/>
    </row>
    <row r="57" spans="2:15" x14ac:dyDescent="0.2">
      <c r="B57" s="19"/>
      <c r="C57" s="19"/>
    </row>
    <row r="58" spans="2:15" x14ac:dyDescent="0.2">
      <c r="B58" s="19"/>
      <c r="C58" s="19"/>
    </row>
    <row r="59" spans="2:15" x14ac:dyDescent="0.2">
      <c r="B59" s="19"/>
      <c r="C59" s="19"/>
    </row>
    <row r="60" spans="2:15" x14ac:dyDescent="0.2">
      <c r="B60" s="19"/>
      <c r="C60" s="19"/>
    </row>
    <row r="61" spans="2:15" x14ac:dyDescent="0.2">
      <c r="B61" s="19"/>
      <c r="C61" s="19"/>
    </row>
    <row r="62" spans="2:15" x14ac:dyDescent="0.2">
      <c r="B62" s="19"/>
      <c r="C62" s="19"/>
    </row>
    <row r="63" spans="2:15" x14ac:dyDescent="0.2">
      <c r="B63" s="19"/>
      <c r="C63" s="19"/>
    </row>
    <row r="64" spans="2:15" x14ac:dyDescent="0.2">
      <c r="B64" s="19"/>
      <c r="C64" s="19"/>
    </row>
    <row r="65" spans="2:3" x14ac:dyDescent="0.2">
      <c r="B65" s="19"/>
      <c r="C65" s="19"/>
    </row>
    <row r="66" spans="2:3" x14ac:dyDescent="0.2">
      <c r="B66" s="19"/>
      <c r="C66" s="19"/>
    </row>
    <row r="67" spans="2:3" x14ac:dyDescent="0.2">
      <c r="B67" s="19"/>
      <c r="C67" s="19"/>
    </row>
    <row r="68" spans="2:3" x14ac:dyDescent="0.2">
      <c r="B68" s="19"/>
      <c r="C68" s="19"/>
    </row>
    <row r="69" spans="2:3" x14ac:dyDescent="0.2">
      <c r="B69" s="19"/>
      <c r="C69" s="19"/>
    </row>
    <row r="70" spans="2:3" x14ac:dyDescent="0.2">
      <c r="B70" s="19"/>
      <c r="C70" s="19"/>
    </row>
    <row r="71" spans="2:3" x14ac:dyDescent="0.2">
      <c r="B71" s="19"/>
      <c r="C71" s="19"/>
    </row>
    <row r="72" spans="2:3" x14ac:dyDescent="0.2">
      <c r="B72" s="19"/>
      <c r="C72" s="19"/>
    </row>
    <row r="73" spans="2:3" x14ac:dyDescent="0.2">
      <c r="B73" s="19"/>
      <c r="C73" s="19"/>
    </row>
    <row r="74" spans="2:3" x14ac:dyDescent="0.2">
      <c r="B74" s="19"/>
      <c r="C74" s="19"/>
    </row>
    <row r="75" spans="2:3" x14ac:dyDescent="0.2">
      <c r="B75" s="19"/>
      <c r="C75" s="19"/>
    </row>
    <row r="76" spans="2:3" x14ac:dyDescent="0.2">
      <c r="B76" s="19"/>
      <c r="C76" s="19"/>
    </row>
    <row r="77" spans="2:3" x14ac:dyDescent="0.2">
      <c r="B77" s="19"/>
      <c r="C77" s="19"/>
    </row>
    <row r="78" spans="2:3" x14ac:dyDescent="0.2">
      <c r="B78" s="19"/>
      <c r="C78" s="19"/>
    </row>
    <row r="79" spans="2:3" x14ac:dyDescent="0.2">
      <c r="B79" s="19"/>
      <c r="C79" s="19"/>
    </row>
    <row r="80" spans="2:3" x14ac:dyDescent="0.2">
      <c r="B80" s="19"/>
      <c r="C80" s="19"/>
    </row>
    <row r="81" spans="2:3" x14ac:dyDescent="0.2">
      <c r="B81" s="19"/>
      <c r="C81" s="19"/>
    </row>
    <row r="82" spans="2:3" x14ac:dyDescent="0.2">
      <c r="B82" s="19"/>
      <c r="C82" s="19"/>
    </row>
    <row r="83" spans="2:3" x14ac:dyDescent="0.2">
      <c r="B83" s="19"/>
      <c r="C83" s="19"/>
    </row>
    <row r="84" spans="2:3" x14ac:dyDescent="0.2">
      <c r="B84" s="19"/>
      <c r="C84" s="19"/>
    </row>
    <row r="85" spans="2:3" x14ac:dyDescent="0.2">
      <c r="B85" s="19"/>
      <c r="C85" s="19"/>
    </row>
    <row r="86" spans="2:3" x14ac:dyDescent="0.2">
      <c r="B86" s="19"/>
      <c r="C86" s="19"/>
    </row>
    <row r="87" spans="2:3" x14ac:dyDescent="0.2">
      <c r="B87" s="19"/>
      <c r="C87" s="19"/>
    </row>
    <row r="88" spans="2:3" x14ac:dyDescent="0.2">
      <c r="B88" s="19"/>
      <c r="C88" s="19"/>
    </row>
    <row r="89" spans="2:3" x14ac:dyDescent="0.2">
      <c r="B89" s="19"/>
      <c r="C89" s="19"/>
    </row>
    <row r="90" spans="2:3" x14ac:dyDescent="0.2">
      <c r="B90" s="19"/>
      <c r="C90" s="19"/>
    </row>
    <row r="91" spans="2:3" x14ac:dyDescent="0.2">
      <c r="B91" s="19"/>
      <c r="C91" s="19"/>
    </row>
    <row r="92" spans="2:3" x14ac:dyDescent="0.2">
      <c r="B92" s="19"/>
      <c r="C92" s="19"/>
    </row>
    <row r="93" spans="2:3" x14ac:dyDescent="0.2">
      <c r="B93" s="16"/>
      <c r="C93" s="16"/>
    </row>
    <row r="94" spans="2:3" x14ac:dyDescent="0.2">
      <c r="B94" s="16"/>
      <c r="C94" s="16"/>
    </row>
    <row r="95" spans="2:3" x14ac:dyDescent="0.2">
      <c r="B95" s="16"/>
      <c r="C95" s="16"/>
    </row>
    <row r="96" spans="2:3" x14ac:dyDescent="0.2">
      <c r="B96" s="16"/>
      <c r="C96" s="16"/>
    </row>
    <row r="97" spans="2:3" x14ac:dyDescent="0.2">
      <c r="B97" s="16"/>
      <c r="C97" s="16"/>
    </row>
    <row r="98" spans="2:3" x14ac:dyDescent="0.2">
      <c r="B98" s="16"/>
      <c r="C98" s="16"/>
    </row>
    <row r="99" spans="2:3" x14ac:dyDescent="0.2">
      <c r="B99" s="16"/>
      <c r="C99" s="16"/>
    </row>
    <row r="100" spans="2:3" x14ac:dyDescent="0.2">
      <c r="B100" s="16"/>
      <c r="C100" s="16"/>
    </row>
    <row r="101" spans="2:3" x14ac:dyDescent="0.2">
      <c r="B101" s="16"/>
      <c r="C101" s="16"/>
    </row>
    <row r="102" spans="2:3" x14ac:dyDescent="0.2">
      <c r="B102" s="16"/>
      <c r="C102" s="16"/>
    </row>
    <row r="103" spans="2:3" x14ac:dyDescent="0.2">
      <c r="B103" s="16"/>
      <c r="C103" s="16"/>
    </row>
    <row r="104" spans="2:3" x14ac:dyDescent="0.2">
      <c r="B104" s="16"/>
      <c r="C104" s="16"/>
    </row>
    <row r="105" spans="2:3" x14ac:dyDescent="0.2">
      <c r="B105" s="16"/>
      <c r="C105" s="16"/>
    </row>
    <row r="106" spans="2:3" x14ac:dyDescent="0.2">
      <c r="B106" s="16"/>
      <c r="C106" s="16"/>
    </row>
    <row r="107" spans="2:3" x14ac:dyDescent="0.2">
      <c r="B107" s="16"/>
      <c r="C107" s="16"/>
    </row>
    <row r="108" spans="2:3" x14ac:dyDescent="0.2">
      <c r="B108" s="16"/>
      <c r="C108" s="16"/>
    </row>
    <row r="109" spans="2:3" x14ac:dyDescent="0.2">
      <c r="B109" s="16"/>
      <c r="C109" s="16"/>
    </row>
    <row r="110" spans="2:3" x14ac:dyDescent="0.2">
      <c r="B110" s="16"/>
      <c r="C110" s="16"/>
    </row>
    <row r="111" spans="2:3" x14ac:dyDescent="0.2">
      <c r="B111" s="16"/>
      <c r="C111" s="16"/>
    </row>
    <row r="112" spans="2:3" x14ac:dyDescent="0.2">
      <c r="B112" s="16"/>
      <c r="C112" s="16"/>
    </row>
    <row r="113" spans="2:3" x14ac:dyDescent="0.2">
      <c r="B113" s="16"/>
      <c r="C113" s="16"/>
    </row>
    <row r="114" spans="2:3" x14ac:dyDescent="0.2">
      <c r="B114" s="16"/>
      <c r="C114" s="16"/>
    </row>
    <row r="115" spans="2:3" x14ac:dyDescent="0.2">
      <c r="B115" s="16"/>
      <c r="C115" s="16"/>
    </row>
    <row r="116" spans="2:3" x14ac:dyDescent="0.2">
      <c r="B116" s="16"/>
      <c r="C116" s="16"/>
    </row>
    <row r="117" spans="2:3" x14ac:dyDescent="0.2">
      <c r="B117" s="16"/>
      <c r="C117" s="16"/>
    </row>
    <row r="118" spans="2:3" x14ac:dyDescent="0.2">
      <c r="B118" s="16"/>
      <c r="C118" s="16"/>
    </row>
    <row r="119" spans="2:3" x14ac:dyDescent="0.2">
      <c r="B119" s="16"/>
      <c r="C119" s="16"/>
    </row>
    <row r="120" spans="2:3" x14ac:dyDescent="0.2">
      <c r="B120" s="16"/>
      <c r="C120" s="16"/>
    </row>
    <row r="121" spans="2:3" x14ac:dyDescent="0.2">
      <c r="B121" s="16"/>
      <c r="C121" s="16"/>
    </row>
    <row r="122" spans="2:3" x14ac:dyDescent="0.2">
      <c r="B122" s="16"/>
      <c r="C122" s="16"/>
    </row>
    <row r="123" spans="2:3" x14ac:dyDescent="0.2">
      <c r="B123" s="16"/>
      <c r="C123" s="16"/>
    </row>
    <row r="124" spans="2:3" x14ac:dyDescent="0.2">
      <c r="B124" s="16"/>
      <c r="C124" s="16"/>
    </row>
    <row r="125" spans="2:3" x14ac:dyDescent="0.2">
      <c r="B125" s="16"/>
      <c r="C125" s="16"/>
    </row>
    <row r="126" spans="2:3" x14ac:dyDescent="0.2">
      <c r="B126" s="16"/>
      <c r="C126" s="16"/>
    </row>
    <row r="127" spans="2:3" x14ac:dyDescent="0.2">
      <c r="B127" s="16"/>
      <c r="C127" s="16"/>
    </row>
    <row r="128" spans="2:3" x14ac:dyDescent="0.2">
      <c r="B128" s="16"/>
      <c r="C128" s="16"/>
    </row>
    <row r="129" spans="2:3" x14ac:dyDescent="0.2">
      <c r="B129" s="16"/>
      <c r="C129" s="16"/>
    </row>
    <row r="130" spans="2:3" x14ac:dyDescent="0.2">
      <c r="B130" s="16"/>
      <c r="C130" s="16"/>
    </row>
  </sheetData>
  <mergeCells count="2">
    <mergeCell ref="B5:B12"/>
    <mergeCell ref="B13:B20"/>
  </mergeCell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23"/>
  <sheetViews>
    <sheetView topLeftCell="A2" workbookViewId="0">
      <selection activeCell="C16" sqref="C16:F16"/>
    </sheetView>
    <sheetView workbookViewId="1"/>
  </sheetViews>
  <sheetFormatPr baseColWidth="10" defaultRowHeight="12.75" x14ac:dyDescent="0.2"/>
  <cols>
    <col min="4" max="6" width="12.5703125" bestFit="1" customWidth="1"/>
  </cols>
  <sheetData>
    <row r="5" spans="1:7" x14ac:dyDescent="0.2">
      <c r="B5" s="1003" t="s">
        <v>268</v>
      </c>
    </row>
    <row r="7" spans="1:7" ht="38.25" x14ac:dyDescent="0.2">
      <c r="A7" s="696"/>
      <c r="B7" s="1008"/>
      <c r="C7" s="991" t="s">
        <v>235</v>
      </c>
      <c r="D7" s="966">
        <v>2010</v>
      </c>
      <c r="E7" s="966">
        <v>2014</v>
      </c>
      <c r="F7" s="966">
        <v>2017</v>
      </c>
      <c r="G7" s="696"/>
    </row>
    <row r="8" spans="1:7" ht="25.5" x14ac:dyDescent="0.2">
      <c r="A8" s="696"/>
      <c r="B8" s="990" t="s">
        <v>221</v>
      </c>
      <c r="C8" s="990"/>
      <c r="D8" s="993">
        <v>3013</v>
      </c>
      <c r="E8" s="993">
        <v>2276</v>
      </c>
      <c r="F8" s="993">
        <v>2690</v>
      </c>
      <c r="G8" s="967" t="s">
        <v>222</v>
      </c>
    </row>
    <row r="9" spans="1:7" ht="63.75" x14ac:dyDescent="0.2">
      <c r="A9" s="1129" t="s">
        <v>236</v>
      </c>
      <c r="B9" s="990" t="s">
        <v>240</v>
      </c>
      <c r="C9" s="990">
        <v>25702</v>
      </c>
      <c r="D9" s="994">
        <f>Resultats_2010_2014_2017!D5</f>
        <v>594.80940999999996</v>
      </c>
      <c r="E9" s="994">
        <f>Resultats_2010_2014_2017!F5</f>
        <v>407.36851999999999</v>
      </c>
      <c r="F9" s="994">
        <f>Resultats_2010_2014_2017!H5</f>
        <v>523.92925000000002</v>
      </c>
      <c r="G9" s="967" t="s">
        <v>250</v>
      </c>
    </row>
    <row r="10" spans="1:7" ht="25.5" x14ac:dyDescent="0.2">
      <c r="A10" s="1130"/>
      <c r="B10" s="990" t="s">
        <v>241</v>
      </c>
      <c r="C10" s="990"/>
      <c r="D10" s="995">
        <f>1000*D9/D8</f>
        <v>197.41434118818449</v>
      </c>
      <c r="E10" s="995">
        <f>1000*E9/E8</f>
        <v>178.98441124780317</v>
      </c>
      <c r="F10" s="995">
        <f>1000*F9/F8</f>
        <v>194.76923791821562</v>
      </c>
      <c r="G10" s="967" t="s">
        <v>249</v>
      </c>
    </row>
    <row r="11" spans="1:7" ht="38.25" x14ac:dyDescent="0.2">
      <c r="A11" s="1130"/>
      <c r="B11" s="990" t="s">
        <v>242</v>
      </c>
      <c r="C11" s="990"/>
      <c r="D11" s="994">
        <f>1000*D9/$C$9</f>
        <v>23.142534044043263</v>
      </c>
      <c r="E11" s="994">
        <f>1000*E9/$C$9</f>
        <v>15.849681736829819</v>
      </c>
      <c r="F11" s="994">
        <f>1000*F9/$C$9</f>
        <v>20.384765776982334</v>
      </c>
      <c r="G11" s="967"/>
    </row>
    <row r="12" spans="1:7" ht="38.25" x14ac:dyDescent="0.2">
      <c r="A12" s="1130"/>
      <c r="B12" s="991" t="s">
        <v>243</v>
      </c>
      <c r="C12" s="991"/>
      <c r="D12" s="1001">
        <f>D10/$C$9</f>
        <v>7.6808941400740988E-3</v>
      </c>
      <c r="E12" s="1001">
        <f>E10/$C$9</f>
        <v>6.9638320460587953E-3</v>
      </c>
      <c r="F12" s="1001">
        <f>F10/$C$9</f>
        <v>7.5779798427443633E-3</v>
      </c>
      <c r="G12" s="967" t="s">
        <v>251</v>
      </c>
    </row>
    <row r="13" spans="1:7" ht="63.75" x14ac:dyDescent="0.2">
      <c r="A13" s="1131" t="s">
        <v>238</v>
      </c>
      <c r="B13" s="999" t="s">
        <v>247</v>
      </c>
      <c r="C13" s="998">
        <v>6863</v>
      </c>
      <c r="D13" s="994">
        <f>'Emissions 2010_2014_2017'!L30</f>
        <v>36.2480495</v>
      </c>
      <c r="E13" s="994">
        <f>'Emissions 2010_2014_2017'!W30</f>
        <v>19.535893000000002</v>
      </c>
      <c r="F13" s="994">
        <f>'Emissions 2010_2014_2017'!AH30</f>
        <v>26.178438000000003</v>
      </c>
      <c r="G13" s="967"/>
    </row>
    <row r="14" spans="1:7" ht="63.75" x14ac:dyDescent="0.2">
      <c r="A14" s="1132"/>
      <c r="B14" s="999" t="s">
        <v>244</v>
      </c>
      <c r="C14" s="998">
        <v>6863</v>
      </c>
      <c r="D14" s="997">
        <f>1000*'Emissions 2010_2014_2017'!L30/'données climats'!D8</f>
        <v>12.030550779953535</v>
      </c>
      <c r="E14" s="997">
        <f>1000*'Emissions 2010_2014_2017'!W30/'données climats'!E8</f>
        <v>8.5834327768014056</v>
      </c>
      <c r="F14" s="997">
        <f>1000*'Emissions 2010_2014_2017'!AH30/'données climats'!F8</f>
        <v>9.7317613382899637</v>
      </c>
      <c r="G14" s="967" t="s">
        <v>249</v>
      </c>
    </row>
    <row r="15" spans="1:7" ht="38.25" x14ac:dyDescent="0.2">
      <c r="A15" s="1132"/>
      <c r="B15" s="991" t="s">
        <v>243</v>
      </c>
      <c r="C15" s="1002"/>
      <c r="D15" s="1001">
        <f>D14/$C$13</f>
        <v>1.7529580037816603E-3</v>
      </c>
      <c r="E15" s="1001">
        <f>E14/$C$13</f>
        <v>1.2506823221333828E-3</v>
      </c>
      <c r="F15" s="1001">
        <f>F14/$C$13</f>
        <v>1.4180039834314386E-3</v>
      </c>
      <c r="G15" s="967" t="s">
        <v>251</v>
      </c>
    </row>
    <row r="16" spans="1:7" ht="38.25" x14ac:dyDescent="0.2">
      <c r="A16" s="1132"/>
      <c r="B16" s="990" t="s">
        <v>242</v>
      </c>
      <c r="C16" s="998"/>
      <c r="D16" s="997">
        <f>1000*D13/$C$13</f>
        <v>5.2816624653941426</v>
      </c>
      <c r="E16" s="997">
        <f>1000*E13/$C$13</f>
        <v>2.846552965175579</v>
      </c>
      <c r="F16" s="997">
        <f>1000*F13/$C$13</f>
        <v>3.8144307154305701</v>
      </c>
      <c r="G16" s="696"/>
    </row>
    <row r="17" spans="1:9" x14ac:dyDescent="0.2">
      <c r="A17" s="1131" t="s">
        <v>239</v>
      </c>
      <c r="B17" s="996"/>
      <c r="C17" s="998">
        <v>3911</v>
      </c>
      <c r="D17" s="1000"/>
      <c r="E17" s="1000"/>
      <c r="F17" s="997">
        <f>'Emissions 2010_2014_2017'!AH34</f>
        <v>22.370961000000001</v>
      </c>
      <c r="G17" s="696"/>
    </row>
    <row r="18" spans="1:9" ht="38.25" x14ac:dyDescent="0.2">
      <c r="A18" s="1132"/>
      <c r="B18" s="999" t="s">
        <v>252</v>
      </c>
      <c r="C18" s="998"/>
      <c r="D18" s="1000"/>
      <c r="E18" s="1000"/>
      <c r="F18" s="997">
        <f>1000*F17/F8</f>
        <v>8.3163423791821565</v>
      </c>
      <c r="G18" s="967" t="s">
        <v>249</v>
      </c>
    </row>
    <row r="19" spans="1:9" ht="38.25" x14ac:dyDescent="0.2">
      <c r="A19" s="1132"/>
      <c r="B19" s="990" t="s">
        <v>243</v>
      </c>
      <c r="C19" s="998"/>
      <c r="D19" s="997"/>
      <c r="E19" s="997"/>
      <c r="F19" s="1006">
        <f>1000*F17/(C17*F8)</f>
        <v>2.1263979491644483E-3</v>
      </c>
      <c r="G19" s="967" t="s">
        <v>251</v>
      </c>
    </row>
    <row r="20" spans="1:9" ht="25.5" x14ac:dyDescent="0.2">
      <c r="A20" s="1133" t="s">
        <v>237</v>
      </c>
      <c r="B20" s="992" t="s">
        <v>224</v>
      </c>
      <c r="C20" s="992"/>
      <c r="D20" s="993">
        <v>1864</v>
      </c>
      <c r="E20" s="993">
        <v>1260</v>
      </c>
      <c r="F20" s="993">
        <v>1577</v>
      </c>
      <c r="G20" s="696" t="s">
        <v>223</v>
      </c>
    </row>
    <row r="21" spans="1:9" ht="51" x14ac:dyDescent="0.2">
      <c r="A21" s="1134"/>
      <c r="B21" s="990" t="s">
        <v>245</v>
      </c>
      <c r="C21" s="990">
        <f>10922+748</f>
        <v>11670</v>
      </c>
      <c r="D21" s="995">
        <f>Resultats_2010_2014_2017!D6</f>
        <v>493.11527999999998</v>
      </c>
      <c r="E21" s="995">
        <f>Resultats_2010_2014_2017!F6</f>
        <v>346.36273499999999</v>
      </c>
      <c r="F21" s="995">
        <f>Resultats_2010_2014_2017!H6</f>
        <v>455.91030000000001</v>
      </c>
      <c r="G21" s="696"/>
    </row>
    <row r="22" spans="1:9" ht="38.25" x14ac:dyDescent="0.2">
      <c r="A22" s="1134"/>
      <c r="B22" s="990" t="s">
        <v>246</v>
      </c>
      <c r="C22" s="990"/>
      <c r="D22" s="995">
        <f>1000*D21/D20</f>
        <v>264.54682403433475</v>
      </c>
      <c r="E22" s="995">
        <f>1000*E21/E20</f>
        <v>274.89105952380953</v>
      </c>
      <c r="F22" s="995">
        <f>1000*F21/F20</f>
        <v>289.09974635383639</v>
      </c>
      <c r="G22" s="967" t="s">
        <v>249</v>
      </c>
    </row>
    <row r="23" spans="1:9" ht="38.25" x14ac:dyDescent="0.2">
      <c r="A23" s="1134"/>
      <c r="B23" s="990" t="s">
        <v>243</v>
      </c>
      <c r="C23" s="1008"/>
      <c r="D23" s="1009">
        <f>D22/$C$21</f>
        <v>2.2668965212882156E-2</v>
      </c>
      <c r="E23" s="1009">
        <f>E22/$C$21</f>
        <v>2.3555360713265597E-2</v>
      </c>
      <c r="F23" s="1009">
        <f>F22/$C$21</f>
        <v>2.4772900287389581E-2</v>
      </c>
      <c r="G23" s="1004" t="s">
        <v>251</v>
      </c>
      <c r="I23" s="964" t="s">
        <v>269</v>
      </c>
    </row>
  </sheetData>
  <mergeCells count="4">
    <mergeCell ref="A9:A12"/>
    <mergeCell ref="A13:A16"/>
    <mergeCell ref="A17:A19"/>
    <mergeCell ref="A20:A2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G23"/>
  <sheetViews>
    <sheetView topLeftCell="A7" workbookViewId="0">
      <selection activeCell="A8" sqref="A8:A23"/>
    </sheetView>
    <sheetView workbookViewId="1"/>
  </sheetViews>
  <sheetFormatPr baseColWidth="10" defaultRowHeight="12.75" x14ac:dyDescent="0.2"/>
  <cols>
    <col min="2" max="2" width="17" customWidth="1"/>
    <col min="4" max="6" width="12.5703125" bestFit="1" customWidth="1"/>
  </cols>
  <sheetData>
    <row r="5" spans="1:7" x14ac:dyDescent="0.2">
      <c r="B5" s="964" t="s">
        <v>248</v>
      </c>
    </row>
    <row r="7" spans="1:7" ht="38.25" x14ac:dyDescent="0.2">
      <c r="B7" s="963"/>
      <c r="C7" s="991" t="s">
        <v>235</v>
      </c>
      <c r="D7" s="966">
        <v>2010</v>
      </c>
      <c r="E7" s="966">
        <v>2014</v>
      </c>
      <c r="F7" s="966">
        <v>2017</v>
      </c>
    </row>
    <row r="8" spans="1:7" x14ac:dyDescent="0.2">
      <c r="B8" s="990" t="s">
        <v>221</v>
      </c>
      <c r="C8" s="990"/>
      <c r="D8" s="993">
        <v>3013</v>
      </c>
      <c r="E8" s="993">
        <v>2276</v>
      </c>
      <c r="F8" s="993">
        <v>2690</v>
      </c>
      <c r="G8" s="964" t="s">
        <v>222</v>
      </c>
    </row>
    <row r="9" spans="1:7" ht="51" x14ac:dyDescent="0.2">
      <c r="A9" s="1135" t="s">
        <v>236</v>
      </c>
      <c r="B9" s="990" t="s">
        <v>254</v>
      </c>
      <c r="C9" s="990">
        <v>25702</v>
      </c>
      <c r="D9" s="994">
        <f>'Données de consommation'!E8</f>
        <v>3215186</v>
      </c>
      <c r="E9" s="994">
        <f>'Données de consommation'!H8</f>
        <v>2201992</v>
      </c>
      <c r="F9" s="994">
        <f>'Données de consommation'!K8</f>
        <v>2832050</v>
      </c>
      <c r="G9" s="964" t="s">
        <v>11</v>
      </c>
    </row>
    <row r="10" spans="1:7" ht="25.5" x14ac:dyDescent="0.2">
      <c r="A10" s="1136"/>
      <c r="B10" s="990" t="s">
        <v>259</v>
      </c>
      <c r="C10" s="990"/>
      <c r="D10" s="994">
        <f>D9/D8</f>
        <v>1067.1045469631597</v>
      </c>
      <c r="E10" s="994">
        <f>E9/E8</f>
        <v>967.48330404217927</v>
      </c>
      <c r="F10" s="994">
        <f>F9/F8</f>
        <v>1052.806691449814</v>
      </c>
      <c r="G10" s="967" t="s">
        <v>253</v>
      </c>
    </row>
    <row r="11" spans="1:7" ht="38.25" x14ac:dyDescent="0.2">
      <c r="A11" s="1136"/>
      <c r="B11" s="990" t="s">
        <v>255</v>
      </c>
      <c r="C11" s="990"/>
      <c r="D11" s="994">
        <f t="shared" ref="D11:F12" si="0">D9/$C$9</f>
        <v>125.09477861645009</v>
      </c>
      <c r="E11" s="994">
        <f t="shared" si="0"/>
        <v>85.673955334215236</v>
      </c>
      <c r="F11" s="994">
        <f t="shared" si="0"/>
        <v>110.18792311882343</v>
      </c>
      <c r="G11" s="967" t="s">
        <v>256</v>
      </c>
    </row>
    <row r="12" spans="1:7" ht="25.5" x14ac:dyDescent="0.2">
      <c r="A12" s="1136"/>
      <c r="B12" s="991" t="s">
        <v>257</v>
      </c>
      <c r="C12" s="991"/>
      <c r="D12" s="1005">
        <f t="shared" si="0"/>
        <v>4.1518346703103247E-2</v>
      </c>
      <c r="E12" s="1005">
        <f t="shared" si="0"/>
        <v>3.7642335384101597E-2</v>
      </c>
      <c r="F12" s="1005">
        <f t="shared" si="0"/>
        <v>4.0962053204023581E-2</v>
      </c>
      <c r="G12" s="967" t="s">
        <v>258</v>
      </c>
    </row>
    <row r="13" spans="1:7" ht="38.25" x14ac:dyDescent="0.2">
      <c r="A13" s="1137" t="s">
        <v>238</v>
      </c>
      <c r="B13" s="999" t="s">
        <v>260</v>
      </c>
      <c r="C13" s="998">
        <v>6863</v>
      </c>
      <c r="D13" s="994">
        <f>'Données de consommation'!E30</f>
        <v>214485.5</v>
      </c>
      <c r="E13" s="994">
        <f>'Données de consommation'!H30</f>
        <v>115597</v>
      </c>
      <c r="F13" s="994">
        <f>'Données de consommation'!K30</f>
        <v>154902</v>
      </c>
      <c r="G13" s="967"/>
    </row>
    <row r="14" spans="1:7" ht="38.25" x14ac:dyDescent="0.2">
      <c r="A14" s="1138"/>
      <c r="B14" s="999" t="s">
        <v>261</v>
      </c>
      <c r="C14" s="998">
        <v>6863</v>
      </c>
      <c r="D14" s="994">
        <f>D13/'données énergie'!D8</f>
        <v>71.186691005642217</v>
      </c>
      <c r="E14" s="994">
        <f>E13/'données énergie'!E8</f>
        <v>50.789543057996482</v>
      </c>
      <c r="F14" s="994">
        <f>F13/'données énergie'!F8</f>
        <v>57.584386617100371</v>
      </c>
      <c r="G14" s="967" t="s">
        <v>253</v>
      </c>
    </row>
    <row r="15" spans="1:7" ht="25.5" x14ac:dyDescent="0.2">
      <c r="A15" s="1138"/>
      <c r="B15" s="991" t="s">
        <v>262</v>
      </c>
      <c r="C15" s="1002"/>
      <c r="D15" s="1005">
        <f>D14/$C$13</f>
        <v>1.0372532566755386E-2</v>
      </c>
      <c r="E15" s="1005">
        <f>E14/$C$13</f>
        <v>7.4004871132152825E-3</v>
      </c>
      <c r="F15" s="1005">
        <f>F14/$C$13</f>
        <v>8.3905561149789261E-3</v>
      </c>
      <c r="G15" s="967" t="s">
        <v>258</v>
      </c>
    </row>
    <row r="16" spans="1:7" ht="25.5" x14ac:dyDescent="0.2">
      <c r="A16" s="1138"/>
      <c r="B16" s="990" t="s">
        <v>263</v>
      </c>
      <c r="C16" s="998"/>
      <c r="D16" s="997">
        <f>D13/$C$13</f>
        <v>31.25244062363398</v>
      </c>
      <c r="E16" s="997">
        <f>E13/$C$13</f>
        <v>16.843508669677984</v>
      </c>
      <c r="F16" s="997">
        <f>F13/$C$13</f>
        <v>22.570595949293313</v>
      </c>
    </row>
    <row r="17" spans="1:7" x14ac:dyDescent="0.2">
      <c r="A17" s="1137" t="s">
        <v>239</v>
      </c>
      <c r="B17" s="996"/>
      <c r="C17" s="998">
        <v>3911</v>
      </c>
      <c r="D17" s="1000"/>
      <c r="E17" s="1000"/>
      <c r="F17" s="997">
        <f>'Données de consommation'!K33</f>
        <v>350510</v>
      </c>
    </row>
    <row r="18" spans="1:7" ht="25.5" x14ac:dyDescent="0.2">
      <c r="A18" s="1138"/>
      <c r="B18" s="999" t="s">
        <v>264</v>
      </c>
      <c r="C18" s="998"/>
      <c r="D18" s="1000"/>
      <c r="E18" s="1000"/>
      <c r="F18" s="997">
        <f>F17/F8</f>
        <v>130.3011152416357</v>
      </c>
      <c r="G18" s="967" t="s">
        <v>253</v>
      </c>
    </row>
    <row r="19" spans="1:7" ht="25.5" x14ac:dyDescent="0.2">
      <c r="A19" s="1138"/>
      <c r="B19" s="990" t="s">
        <v>262</v>
      </c>
      <c r="C19" s="998"/>
      <c r="D19" s="997"/>
      <c r="E19" s="997"/>
      <c r="F19" s="1006">
        <f>F17/(C17*F8)</f>
        <v>3.3316572549638379E-2</v>
      </c>
      <c r="G19" s="967" t="s">
        <v>258</v>
      </c>
    </row>
    <row r="20" spans="1:7" x14ac:dyDescent="0.2">
      <c r="A20" s="1139" t="s">
        <v>237</v>
      </c>
      <c r="B20" s="992" t="s">
        <v>224</v>
      </c>
      <c r="C20" s="992"/>
      <c r="D20" s="993">
        <v>1864</v>
      </c>
      <c r="E20" s="993">
        <v>1260</v>
      </c>
      <c r="F20" s="993">
        <v>1577</v>
      </c>
      <c r="G20" s="696" t="s">
        <v>223</v>
      </c>
    </row>
    <row r="21" spans="1:7" ht="38.25" x14ac:dyDescent="0.2">
      <c r="A21" s="1140"/>
      <c r="B21" s="990" t="s">
        <v>265</v>
      </c>
      <c r="C21" s="990">
        <f>10922+748</f>
        <v>11670</v>
      </c>
      <c r="D21" s="994">
        <f>'Données de consommation'!E9</f>
        <v>2665488</v>
      </c>
      <c r="E21" s="994">
        <f>'Données de consommation'!H9</f>
        <v>1872231</v>
      </c>
      <c r="F21" s="994">
        <f>'Données de consommation'!K9</f>
        <v>2464380</v>
      </c>
      <c r="G21" s="696"/>
    </row>
    <row r="22" spans="1:7" ht="25.5" x14ac:dyDescent="0.2">
      <c r="A22" s="1140"/>
      <c r="B22" s="990" t="s">
        <v>266</v>
      </c>
      <c r="C22" s="990"/>
      <c r="D22" s="995">
        <f>D21/D20</f>
        <v>1429.9828326180257</v>
      </c>
      <c r="E22" s="995">
        <f>E21/E20</f>
        <v>1485.8976190476189</v>
      </c>
      <c r="F22" s="995">
        <f>F21/F20</f>
        <v>1562.7013316423588</v>
      </c>
      <c r="G22" s="967" t="s">
        <v>253</v>
      </c>
    </row>
    <row r="23" spans="1:7" ht="25.5" x14ac:dyDescent="0.2">
      <c r="A23" s="1140"/>
      <c r="B23" s="990" t="s">
        <v>267</v>
      </c>
      <c r="C23" s="963"/>
      <c r="D23" s="1007">
        <f>D22/$C$21</f>
        <v>0.1225349470966603</v>
      </c>
      <c r="E23" s="1007">
        <f>E22/$C$21</f>
        <v>0.12732627412575998</v>
      </c>
      <c r="F23" s="1007">
        <f>F22/$C$21</f>
        <v>0.13390756912102475</v>
      </c>
      <c r="G23" s="967" t="s">
        <v>258</v>
      </c>
    </row>
  </sheetData>
  <mergeCells count="4">
    <mergeCell ref="A9:A12"/>
    <mergeCell ref="A13:A16"/>
    <mergeCell ref="A17:A19"/>
    <mergeCell ref="A20:A2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7"/>
  <sheetViews>
    <sheetView topLeftCell="A2" workbookViewId="0">
      <selection activeCell="T12" sqref="T12"/>
    </sheetView>
    <sheetView workbookViewId="1"/>
  </sheetViews>
  <sheetFormatPr baseColWidth="10" defaultRowHeight="12.75" x14ac:dyDescent="0.2"/>
  <cols>
    <col min="2" max="2" width="31.42578125" customWidth="1"/>
  </cols>
  <sheetData>
    <row r="1" spans="1:30" ht="13.5" customHeight="1" thickBot="1" x14ac:dyDescent="0.25">
      <c r="A1" s="1"/>
      <c r="C1" s="74"/>
      <c r="E1" s="1067" t="s">
        <v>0</v>
      </c>
      <c r="F1" s="1108"/>
      <c r="G1" s="1108"/>
      <c r="H1" s="1108"/>
      <c r="I1" s="1108"/>
      <c r="J1" s="1068"/>
      <c r="M1" s="19"/>
      <c r="O1" s="1109" t="s">
        <v>200</v>
      </c>
      <c r="P1" s="1110"/>
      <c r="Q1" s="1110"/>
      <c r="R1" s="1110"/>
      <c r="S1" s="1110"/>
      <c r="T1" s="1111"/>
      <c r="U1" s="48"/>
      <c r="V1" s="19"/>
      <c r="W1" s="1109" t="s">
        <v>200</v>
      </c>
      <c r="X1" s="1110"/>
      <c r="Y1" s="1110"/>
      <c r="Z1" s="1110"/>
      <c r="AA1" s="1110"/>
      <c r="AB1" s="1111"/>
      <c r="AC1" s="48"/>
      <c r="AD1" s="48"/>
    </row>
    <row r="2" spans="1:30" ht="13.5" customHeight="1" thickBot="1" x14ac:dyDescent="0.25">
      <c r="A2" s="1"/>
      <c r="B2" s="75"/>
      <c r="C2" s="895"/>
      <c r="E2" s="1067" t="s">
        <v>201</v>
      </c>
      <c r="F2" s="1108"/>
      <c r="G2" s="1108"/>
      <c r="H2" s="1108"/>
      <c r="I2" s="1108"/>
      <c r="J2" s="1068"/>
      <c r="M2" s="19"/>
      <c r="O2" s="1109" t="s">
        <v>202</v>
      </c>
      <c r="P2" s="1110"/>
      <c r="Q2" s="1110"/>
      <c r="R2" s="1110"/>
      <c r="S2" s="1110"/>
      <c r="T2" s="1111"/>
      <c r="U2" s="48"/>
      <c r="V2" s="19"/>
      <c r="W2" s="1109" t="s">
        <v>131</v>
      </c>
      <c r="X2" s="1110"/>
      <c r="Y2" s="1110"/>
      <c r="Z2" s="1110"/>
      <c r="AA2" s="1110"/>
      <c r="AB2" s="1111"/>
      <c r="AC2" s="48"/>
      <c r="AD2" s="48"/>
    </row>
    <row r="3" spans="1:30" ht="90" thickBot="1" x14ac:dyDescent="0.25">
      <c r="A3" s="11" t="s">
        <v>1</v>
      </c>
      <c r="B3" s="11" t="s">
        <v>4</v>
      </c>
      <c r="C3" s="11" t="s">
        <v>87</v>
      </c>
      <c r="D3" s="51" t="s">
        <v>203</v>
      </c>
      <c r="E3" s="23" t="s">
        <v>109</v>
      </c>
      <c r="F3" s="24" t="s">
        <v>110</v>
      </c>
      <c r="G3" s="112" t="s">
        <v>111</v>
      </c>
      <c r="H3" s="24" t="s">
        <v>112</v>
      </c>
      <c r="I3" s="24" t="s">
        <v>113</v>
      </c>
      <c r="J3" s="24" t="s">
        <v>204</v>
      </c>
      <c r="M3" s="51" t="s">
        <v>91</v>
      </c>
      <c r="N3" s="51" t="s">
        <v>203</v>
      </c>
      <c r="O3" s="76" t="s">
        <v>205</v>
      </c>
      <c r="P3" s="77" t="s">
        <v>206</v>
      </c>
      <c r="Q3" s="77" t="s">
        <v>207</v>
      </c>
      <c r="R3" s="77" t="s">
        <v>208</v>
      </c>
      <c r="S3" s="885" t="s">
        <v>209</v>
      </c>
      <c r="T3" s="896" t="s">
        <v>82</v>
      </c>
      <c r="U3" s="524"/>
      <c r="V3" s="897" t="s">
        <v>210</v>
      </c>
      <c r="W3" s="76" t="s">
        <v>205</v>
      </c>
      <c r="X3" s="77" t="s">
        <v>206</v>
      </c>
      <c r="Y3" s="77" t="s">
        <v>207</v>
      </c>
      <c r="Z3" s="77" t="s">
        <v>208</v>
      </c>
      <c r="AA3" s="77" t="s">
        <v>209</v>
      </c>
      <c r="AB3" s="78" t="s">
        <v>82</v>
      </c>
      <c r="AC3" s="898" t="s">
        <v>211</v>
      </c>
      <c r="AD3" s="898" t="s">
        <v>212</v>
      </c>
    </row>
    <row r="4" spans="1:30" ht="15.75" thickBot="1" x14ac:dyDescent="0.3">
      <c r="A4" s="12"/>
      <c r="B4" s="899" t="s">
        <v>88</v>
      </c>
      <c r="C4" s="883"/>
      <c r="D4" s="50"/>
      <c r="E4" s="70">
        <v>1</v>
      </c>
      <c r="F4" s="71">
        <f>6.82*44/12</f>
        <v>25.006666666666671</v>
      </c>
      <c r="G4" s="21"/>
      <c r="H4" s="71">
        <f>4036*44/12</f>
        <v>14798.666666666666</v>
      </c>
      <c r="I4" s="71">
        <f>6218*44/12</f>
        <v>22799.333333333332</v>
      </c>
      <c r="J4" s="21"/>
      <c r="M4" s="50"/>
      <c r="N4" s="50"/>
      <c r="O4" s="70">
        <v>1</v>
      </c>
      <c r="P4" s="71">
        <f>6.82*44/12</f>
        <v>25.006666666666671</v>
      </c>
      <c r="Q4" s="21"/>
      <c r="R4" s="71">
        <f>4036*44/12</f>
        <v>14798.666666666666</v>
      </c>
      <c r="S4" s="900">
        <f>6218*44/12</f>
        <v>22799.333333333332</v>
      </c>
      <c r="T4" s="50"/>
      <c r="U4" s="526"/>
      <c r="V4" s="901"/>
      <c r="W4" s="70">
        <v>1</v>
      </c>
      <c r="X4" s="71">
        <f>6.82*44/12</f>
        <v>25.006666666666671</v>
      </c>
      <c r="Y4" s="21"/>
      <c r="Z4" s="71">
        <f>4036*44/12</f>
        <v>14798.666666666666</v>
      </c>
      <c r="AA4" s="71">
        <f>6218*44/12</f>
        <v>22799.333333333332</v>
      </c>
      <c r="AB4" s="902"/>
      <c r="AC4" s="903"/>
      <c r="AD4" s="903"/>
    </row>
    <row r="5" spans="1:30" ht="15.75" thickBot="1" x14ac:dyDescent="0.3">
      <c r="A5" s="12"/>
      <c r="B5" s="199" t="s">
        <v>89</v>
      </c>
      <c r="C5" s="904"/>
      <c r="D5" s="63"/>
      <c r="E5" s="905">
        <v>1</v>
      </c>
      <c r="F5" s="906">
        <v>30</v>
      </c>
      <c r="G5" s="906">
        <v>265</v>
      </c>
      <c r="H5" s="906">
        <v>13856</v>
      </c>
      <c r="I5" s="906">
        <v>26087</v>
      </c>
      <c r="J5" s="68"/>
      <c r="M5" s="63"/>
      <c r="N5" s="63"/>
      <c r="O5" s="905">
        <v>1</v>
      </c>
      <c r="P5" s="906">
        <v>30</v>
      </c>
      <c r="Q5" s="906">
        <v>265</v>
      </c>
      <c r="R5" s="906">
        <v>13856</v>
      </c>
      <c r="S5" s="907">
        <v>26087</v>
      </c>
      <c r="T5" s="63"/>
      <c r="U5" s="526"/>
      <c r="V5" s="908"/>
      <c r="W5" s="905">
        <v>1</v>
      </c>
      <c r="X5" s="906">
        <v>30</v>
      </c>
      <c r="Y5" s="906">
        <v>265</v>
      </c>
      <c r="Z5" s="906">
        <v>13856</v>
      </c>
      <c r="AA5" s="906">
        <v>26087</v>
      </c>
      <c r="AB5" s="909"/>
      <c r="AC5" s="63"/>
      <c r="AD5" s="63"/>
    </row>
    <row r="6" spans="1:30" ht="15.75" thickBot="1" x14ac:dyDescent="0.3">
      <c r="A6" s="12"/>
      <c r="B6" s="910" t="s">
        <v>128</v>
      </c>
      <c r="C6" s="884"/>
      <c r="D6" s="451"/>
      <c r="E6" s="458">
        <v>1</v>
      </c>
      <c r="F6" s="458">
        <v>28</v>
      </c>
      <c r="G6" s="458">
        <v>265</v>
      </c>
      <c r="H6" s="458">
        <v>12400</v>
      </c>
      <c r="I6" s="458">
        <v>23500</v>
      </c>
      <c r="J6" s="459"/>
      <c r="M6" s="451"/>
      <c r="N6" s="451"/>
      <c r="O6" s="458">
        <v>1</v>
      </c>
      <c r="P6" s="458">
        <v>28</v>
      </c>
      <c r="Q6" s="458">
        <v>265</v>
      </c>
      <c r="R6" s="458">
        <v>12400</v>
      </c>
      <c r="S6" s="911">
        <v>23500</v>
      </c>
      <c r="T6" s="451"/>
      <c r="U6" s="526"/>
      <c r="V6" s="912"/>
      <c r="W6" s="458">
        <v>1</v>
      </c>
      <c r="X6" s="458">
        <v>28</v>
      </c>
      <c r="Y6" s="458">
        <v>265</v>
      </c>
      <c r="Z6" s="458">
        <v>12400</v>
      </c>
      <c r="AA6" s="458">
        <v>23500</v>
      </c>
      <c r="AB6" s="913"/>
      <c r="AC6" s="451"/>
      <c r="AD6" s="451"/>
    </row>
    <row r="7" spans="1:30" ht="42" customHeight="1" thickBot="1" x14ac:dyDescent="0.3">
      <c r="A7" s="1032" t="s">
        <v>213</v>
      </c>
      <c r="B7" s="730" t="s">
        <v>98</v>
      </c>
      <c r="C7" s="914">
        <f>33/1000</f>
        <v>3.3000000000000002E-2</v>
      </c>
      <c r="D7" s="110"/>
      <c r="E7" s="915">
        <f>'[1]Données de consommation'!E39*'[1]Emissions évitées'!C7</f>
        <v>0.37620000000000003</v>
      </c>
      <c r="F7" s="916"/>
      <c r="G7" s="916"/>
      <c r="H7" s="916"/>
      <c r="I7" s="916"/>
      <c r="J7" s="917">
        <f>SUM(E7:I7)</f>
        <v>0.37620000000000003</v>
      </c>
      <c r="K7" s="918"/>
      <c r="L7" s="918"/>
      <c r="M7" s="919"/>
      <c r="N7" s="110"/>
      <c r="O7" s="916"/>
      <c r="P7" s="916"/>
      <c r="Q7" s="916"/>
      <c r="R7" s="916"/>
      <c r="S7" s="920"/>
      <c r="T7" s="921">
        <f>SUM(O8+O9)</f>
        <v>-0.23827999999999999</v>
      </c>
      <c r="U7" s="922"/>
      <c r="V7" s="923"/>
      <c r="W7" s="916"/>
      <c r="X7" s="916"/>
      <c r="Y7" s="916"/>
      <c r="Z7" s="916"/>
      <c r="AA7" s="916"/>
      <c r="AB7" s="924">
        <f>SUM(AB8+AB9)</f>
        <v>-0.27966000000000002</v>
      </c>
      <c r="AC7" s="925">
        <f>$AB7-$J7</f>
        <v>-0.65586000000000011</v>
      </c>
      <c r="AD7" s="925">
        <f t="shared" ref="AD7:AD13" si="0">$AB7-$T7</f>
        <v>-4.1380000000000028E-2</v>
      </c>
    </row>
    <row r="8" spans="1:30" ht="33" customHeight="1" thickBot="1" x14ac:dyDescent="0.3">
      <c r="A8" s="1070"/>
      <c r="B8" s="18" t="s">
        <v>97</v>
      </c>
      <c r="C8" s="88"/>
      <c r="D8" s="926">
        <f>-23.8/1000</f>
        <v>-2.3800000000000002E-2</v>
      </c>
      <c r="E8" s="927"/>
      <c r="F8" s="916"/>
      <c r="G8" s="916"/>
      <c r="H8" s="916"/>
      <c r="I8" s="916"/>
      <c r="J8" s="928"/>
      <c r="K8" s="918"/>
      <c r="L8" s="918"/>
      <c r="M8" s="929">
        <f>-43.3/1000</f>
        <v>-4.3299999999999998E-2</v>
      </c>
      <c r="N8" s="926">
        <f>-23.8/1000</f>
        <v>-2.3800000000000002E-2</v>
      </c>
      <c r="O8" s="930">
        <f>'Données de consommation'!H45*'Emissions evitées'!N8</f>
        <v>-0.203014</v>
      </c>
      <c r="P8" s="916"/>
      <c r="Q8" s="916"/>
      <c r="R8" s="916"/>
      <c r="S8" s="920"/>
      <c r="T8" s="931">
        <f>SUM($O8:$S8)</f>
        <v>-0.203014</v>
      </c>
      <c r="U8" s="932"/>
      <c r="V8" s="926">
        <f>-23.8/1000</f>
        <v>-2.3800000000000002E-2</v>
      </c>
      <c r="W8" s="930">
        <f>'Données de consommation'!K45*'Emissions evitées'!V8</f>
        <v>-0.23752400000000004</v>
      </c>
      <c r="X8" s="916"/>
      <c r="Y8" s="916"/>
      <c r="Z8" s="916"/>
      <c r="AA8" s="916"/>
      <c r="AB8" s="934">
        <f>SUM($W8:$AA8)</f>
        <v>-0.23752400000000004</v>
      </c>
      <c r="AC8" s="935"/>
      <c r="AD8" s="935">
        <f>$AB8-$T8</f>
        <v>-3.4510000000000041E-2</v>
      </c>
    </row>
    <row r="9" spans="1:30" ht="29.25" customHeight="1" thickBot="1" x14ac:dyDescent="0.3">
      <c r="A9" s="1070"/>
      <c r="B9" s="18" t="s">
        <v>96</v>
      </c>
      <c r="C9" s="88"/>
      <c r="D9" s="926">
        <f>-22.9/1000</f>
        <v>-2.29E-2</v>
      </c>
      <c r="E9" s="927"/>
      <c r="F9" s="916"/>
      <c r="G9" s="916"/>
      <c r="H9" s="916"/>
      <c r="I9" s="916"/>
      <c r="J9" s="928"/>
      <c r="K9" s="918"/>
      <c r="L9" s="918"/>
      <c r="M9" s="929">
        <f>-23.1/1000</f>
        <v>-2.3100000000000002E-2</v>
      </c>
      <c r="N9" s="926">
        <f>-22.9/1000</f>
        <v>-2.29E-2</v>
      </c>
      <c r="O9" s="930">
        <f>'Données de consommation'!H46*'Emissions evitées'!N9</f>
        <v>-3.5265999999999999E-2</v>
      </c>
      <c r="P9" s="916"/>
      <c r="Q9" s="916"/>
      <c r="R9" s="916"/>
      <c r="S9" s="920"/>
      <c r="T9" s="931">
        <f>SUM($O9:$S9)</f>
        <v>-3.5265999999999999E-2</v>
      </c>
      <c r="U9" s="932"/>
      <c r="V9" s="926">
        <f>-22.9/1000</f>
        <v>-2.29E-2</v>
      </c>
      <c r="W9" s="930">
        <f>'Données de consommation'!K46*'Emissions evitées'!V9</f>
        <v>-4.2136E-2</v>
      </c>
      <c r="X9" s="916"/>
      <c r="Y9" s="916"/>
      <c r="Z9" s="916"/>
      <c r="AA9" s="916"/>
      <c r="AB9" s="934">
        <f>SUM(W9:AA9)</f>
        <v>-4.2136E-2</v>
      </c>
      <c r="AC9" s="935"/>
      <c r="AD9" s="935">
        <f t="shared" si="0"/>
        <v>-6.8700000000000011E-3</v>
      </c>
    </row>
    <row r="10" spans="1:30" s="1024" customFormat="1" ht="33.75" customHeight="1" thickBot="1" x14ac:dyDescent="0.3">
      <c r="A10" s="1070"/>
      <c r="B10" s="18" t="s">
        <v>67</v>
      </c>
      <c r="C10" s="1010">
        <f>-2.057</f>
        <v>-2.0569999999999999</v>
      </c>
      <c r="D10" s="1011">
        <f>-2.057</f>
        <v>-2.0569999999999999</v>
      </c>
      <c r="E10" s="1012">
        <f>'[1]Données de consommation'!E42*'[1]Emissions évitées'!D10</f>
        <v>-9.8735999999999997</v>
      </c>
      <c r="F10" s="1013"/>
      <c r="G10" s="1013"/>
      <c r="H10" s="1013"/>
      <c r="I10" s="1013"/>
      <c r="J10" s="1014">
        <f>SUM(E10:I10)</f>
        <v>-9.8735999999999997</v>
      </c>
      <c r="K10" s="1015"/>
      <c r="L10" s="1015"/>
      <c r="M10" s="1016">
        <f>-2.057</f>
        <v>-2.0569999999999999</v>
      </c>
      <c r="N10" s="1017">
        <f>-2.057</f>
        <v>-2.0569999999999999</v>
      </c>
      <c r="O10" s="1018">
        <f>'[1]Données de consommation'!H42*'[1]Emissions évitées'!N10</f>
        <v>-3.1266400000000001</v>
      </c>
      <c r="P10" s="1013"/>
      <c r="Q10" s="1013"/>
      <c r="R10" s="1013"/>
      <c r="S10" s="1019"/>
      <c r="T10" s="1020">
        <f>SUM($O10:$S10)</f>
        <v>-3.1266400000000001</v>
      </c>
      <c r="U10" s="1021"/>
      <c r="V10" s="1017">
        <f>-2.057</f>
        <v>-2.0569999999999999</v>
      </c>
      <c r="W10" s="1018">
        <f>'[1]Données de consommation'!K42*'[1]Emissions évitées'!V10</f>
        <v>-1.9747199999999998</v>
      </c>
      <c r="X10" s="1013"/>
      <c r="Y10" s="1013"/>
      <c r="Z10" s="1013"/>
      <c r="AA10" s="1013"/>
      <c r="AB10" s="1022">
        <f>SUM($W10:$AA10)</f>
        <v>-1.9747199999999998</v>
      </c>
      <c r="AC10" s="1023">
        <f>$AB10-$J10</f>
        <v>7.8988800000000001</v>
      </c>
      <c r="AD10" s="1023">
        <f t="shared" si="0"/>
        <v>1.1519200000000003</v>
      </c>
    </row>
    <row r="11" spans="1:30" s="1024" customFormat="1" ht="33.75" customHeight="1" thickBot="1" x14ac:dyDescent="0.3">
      <c r="A11" s="1070"/>
      <c r="B11" s="18" t="s">
        <v>274</v>
      </c>
      <c r="C11" s="936"/>
      <c r="D11" s="926"/>
      <c r="E11" s="937"/>
      <c r="F11" s="916"/>
      <c r="G11" s="916"/>
      <c r="H11" s="916"/>
      <c r="I11" s="916"/>
      <c r="J11" s="917"/>
      <c r="K11" s="918"/>
      <c r="L11" s="918"/>
      <c r="M11" s="929">
        <f>-94.7/1000</f>
        <v>-9.4700000000000006E-2</v>
      </c>
      <c r="N11" s="940">
        <f>-94.7/1000</f>
        <v>-9.4700000000000006E-2</v>
      </c>
      <c r="O11" s="930">
        <f>'Données de consommation'!H48*'Emissions evitées'!N11</f>
        <v>-0.17429534999999999</v>
      </c>
      <c r="P11" s="916"/>
      <c r="Q11" s="916"/>
      <c r="R11" s="916"/>
      <c r="S11" s="920"/>
      <c r="T11" s="921">
        <f>SUM($O11:$S11)</f>
        <v>-0.17429534999999999</v>
      </c>
      <c r="U11" s="938"/>
      <c r="V11" s="933">
        <f>-94.7/1000</f>
        <v>-9.4700000000000006E-2</v>
      </c>
      <c r="W11" s="930">
        <f>'[1]Données de consommation'!K43*'[1]Emissions évitées'!V11</f>
        <v>-4.6611340000000006</v>
      </c>
      <c r="X11" s="916"/>
      <c r="Y11" s="916"/>
      <c r="Z11" s="916"/>
      <c r="AA11" s="916"/>
      <c r="AB11" s="939">
        <f>SUM($W11:$AA11)</f>
        <v>-4.6611340000000006</v>
      </c>
      <c r="AC11" s="925">
        <f>$AB11-$J12</f>
        <v>-20.450734000000001</v>
      </c>
      <c r="AD11" s="925">
        <f>$AB11-$T11</f>
        <v>-4.4868386500000002</v>
      </c>
    </row>
    <row r="12" spans="1:30" s="1024" customFormat="1" ht="33.75" customHeight="1" thickBot="1" x14ac:dyDescent="0.3">
      <c r="A12" s="1070"/>
      <c r="B12" s="18" t="s">
        <v>272</v>
      </c>
      <c r="C12" s="1010">
        <v>215</v>
      </c>
      <c r="D12" s="1010">
        <f>215/1000</f>
        <v>0.215</v>
      </c>
      <c r="E12" s="1012">
        <f>'Données de consommation'!E49*'Emissions evitées'!D12</f>
        <v>15.7896</v>
      </c>
      <c r="F12" s="1013"/>
      <c r="G12" s="1013"/>
      <c r="H12" s="1013"/>
      <c r="I12" s="1013"/>
      <c r="J12" s="1014">
        <f>SUM(E12:I12)</f>
        <v>15.7896</v>
      </c>
      <c r="K12" s="1015"/>
      <c r="L12" s="1015"/>
      <c r="M12" s="1016"/>
      <c r="N12" s="1010">
        <f>215/1000</f>
        <v>0.215</v>
      </c>
      <c r="O12" s="1018">
        <f>N12*'Données de consommation'!H49</f>
        <v>5.7082500000000005</v>
      </c>
      <c r="P12" s="1013"/>
      <c r="Q12" s="1013"/>
      <c r="R12" s="1013"/>
      <c r="S12" s="1019"/>
      <c r="T12" s="921">
        <f>SUM($O12:$S12)</f>
        <v>5.7082500000000005</v>
      </c>
      <c r="U12" s="1021"/>
      <c r="V12" s="1010">
        <f>0.215</f>
        <v>0.215</v>
      </c>
      <c r="W12" s="1018">
        <f>'Données de consommation'!K49*V12</f>
        <v>8.3772599999999997</v>
      </c>
      <c r="X12" s="1013"/>
      <c r="Y12" s="1013"/>
      <c r="Z12" s="1013"/>
      <c r="AA12" s="1013"/>
      <c r="AB12" s="939">
        <f>SUM($W12:$AA12)</f>
        <v>8.3772599999999997</v>
      </c>
      <c r="AC12" s="925">
        <f>$AB12-$J13</f>
        <v>8.3772599999999997</v>
      </c>
      <c r="AD12" s="925">
        <f>$AB12-$T12</f>
        <v>2.6690099999999992</v>
      </c>
    </row>
    <row r="13" spans="1:30" ht="15.75" thickBot="1" x14ac:dyDescent="0.3">
      <c r="A13" s="1071"/>
      <c r="B13" s="941" t="s">
        <v>2</v>
      </c>
      <c r="C13" s="942"/>
      <c r="D13" s="943"/>
      <c r="E13" s="944"/>
      <c r="F13" s="945"/>
      <c r="G13" s="945"/>
      <c r="H13" s="945"/>
      <c r="I13" s="946"/>
      <c r="J13" s="947"/>
      <c r="K13" s="948"/>
      <c r="L13" s="948"/>
      <c r="M13" s="949"/>
      <c r="N13" s="943"/>
      <c r="O13" s="950"/>
      <c r="P13" s="916"/>
      <c r="Q13" s="916"/>
      <c r="R13" s="916"/>
      <c r="S13" s="920"/>
      <c r="T13" s="921">
        <f>T7+T10+T11</f>
        <v>-3.5392153500000001</v>
      </c>
      <c r="U13" s="938"/>
      <c r="V13" s="943"/>
      <c r="W13" s="950"/>
      <c r="X13" s="916"/>
      <c r="Y13" s="916"/>
      <c r="Z13" s="916"/>
      <c r="AA13" s="920"/>
      <c r="AB13" s="921">
        <f>AB7+AB10+AB11</f>
        <v>-6.9155139999999999</v>
      </c>
      <c r="AC13" s="951">
        <f>$AB13-$J13</f>
        <v>-6.9155139999999999</v>
      </c>
      <c r="AD13" s="921">
        <f t="shared" si="0"/>
        <v>-3.3762986499999998</v>
      </c>
    </row>
    <row r="14" spans="1:30" x14ac:dyDescent="0.2">
      <c r="U14" s="525"/>
    </row>
    <row r="15" spans="1:30" ht="12.75" customHeight="1" x14ac:dyDescent="0.2">
      <c r="A15" s="1141" t="s">
        <v>214</v>
      </c>
      <c r="B15" s="1141"/>
      <c r="C15" s="952"/>
      <c r="D15" s="952"/>
      <c r="E15" s="952"/>
      <c r="N15" s="953"/>
      <c r="U15" s="212"/>
    </row>
    <row r="16" spans="1:30" x14ac:dyDescent="0.2">
      <c r="C16" s="954"/>
      <c r="O16" s="955"/>
      <c r="U16" s="212"/>
    </row>
    <row r="17" spans="1:21" x14ac:dyDescent="0.2">
      <c r="A17" s="14" t="s">
        <v>7</v>
      </c>
      <c r="U17" s="212"/>
    </row>
  </sheetData>
  <mergeCells count="8">
    <mergeCell ref="A7:A13"/>
    <mergeCell ref="A15:B15"/>
    <mergeCell ref="E1:J1"/>
    <mergeCell ref="O1:T1"/>
    <mergeCell ref="W1:AB1"/>
    <mergeCell ref="E2:J2"/>
    <mergeCell ref="O2:T2"/>
    <mergeCell ref="W2:AB2"/>
  </mergeCell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F20"/>
  <sheetViews>
    <sheetView workbookViewId="0">
      <selection activeCell="F22" sqref="F22"/>
    </sheetView>
    <sheetView workbookViewId="1"/>
  </sheetViews>
  <sheetFormatPr baseColWidth="10" defaultRowHeight="12.75" x14ac:dyDescent="0.2"/>
  <cols>
    <col min="3" max="3" width="29.28515625" customWidth="1"/>
    <col min="4" max="4" width="14.7109375" customWidth="1"/>
    <col min="5" max="5" width="16.42578125" customWidth="1"/>
    <col min="6" max="6" width="14.140625" customWidth="1"/>
  </cols>
  <sheetData>
    <row r="1" spans="3:6" x14ac:dyDescent="0.2">
      <c r="D1" s="965" t="s">
        <v>226</v>
      </c>
      <c r="E1" s="965" t="s">
        <v>227</v>
      </c>
      <c r="F1" s="965" t="s">
        <v>225</v>
      </c>
    </row>
    <row r="2" spans="3:6" ht="25.5" x14ac:dyDescent="0.2">
      <c r="C2" s="968" t="s">
        <v>215</v>
      </c>
      <c r="D2" s="976">
        <f>Resultats_2010_2014_2017!D25</f>
        <v>700.77151521818178</v>
      </c>
      <c r="E2" s="976">
        <f>Resultats_2010_2014_2017!F25</f>
        <v>787.30508682000004</v>
      </c>
      <c r="F2" s="976">
        <f>Resultats_2010_2014_2017!H25</f>
        <v>802.66713729453647</v>
      </c>
    </row>
    <row r="3" spans="3:6" x14ac:dyDescent="0.2">
      <c r="C3" s="969" t="s">
        <v>49</v>
      </c>
      <c r="D3" s="977">
        <f>Resultats_2010_2014_2017!D30</f>
        <v>0</v>
      </c>
      <c r="E3" s="977">
        <f>Resultats_2010_2014_2017!F30</f>
        <v>0</v>
      </c>
      <c r="F3" s="977">
        <f>Resultats_2010_2014_2017!H30</f>
        <v>638.13671999999997</v>
      </c>
    </row>
    <row r="4" spans="3:6" ht="51.75" customHeight="1" x14ac:dyDescent="0.2">
      <c r="C4" s="970" t="s">
        <v>12</v>
      </c>
      <c r="D4" s="975">
        <f>Resultats_2010_2014_2017!D5</f>
        <v>594.80940999999996</v>
      </c>
      <c r="E4" s="975">
        <f>Resultats_2010_2014_2017!F5</f>
        <v>407.36851999999999</v>
      </c>
      <c r="F4" s="975">
        <f>Resultats_2010_2014_2017!H5</f>
        <v>523.92925000000002</v>
      </c>
    </row>
    <row r="5" spans="3:6" ht="51.75" customHeight="1" x14ac:dyDescent="0.2">
      <c r="C5" s="970" t="s">
        <v>13</v>
      </c>
      <c r="D5" s="979">
        <f>Resultats_2010_2014_2017!D6</f>
        <v>493.11527999999998</v>
      </c>
      <c r="E5" s="979">
        <f>Resultats_2010_2014_2017!F6</f>
        <v>346.36273499999999</v>
      </c>
      <c r="F5" s="979">
        <f>Resultats_2010_2014_2017!H6</f>
        <v>455.91030000000001</v>
      </c>
    </row>
    <row r="6" spans="3:6" ht="25.5" x14ac:dyDescent="0.2">
      <c r="C6" s="968" t="s">
        <v>51</v>
      </c>
      <c r="D6" s="978">
        <f>Resultats_2010_2014_2017!D28</f>
        <v>409.81360699999993</v>
      </c>
      <c r="E6" s="978">
        <f>Resultats_2010_2014_2017!F28</f>
        <v>349.80037699999997</v>
      </c>
      <c r="F6" s="978">
        <f>Resultats_2010_2014_2017!H28</f>
        <v>443.61402822000002</v>
      </c>
    </row>
    <row r="7" spans="3:6" x14ac:dyDescent="0.2">
      <c r="C7" s="956" t="s">
        <v>40</v>
      </c>
      <c r="D7" s="977">
        <f>Resultats_2010_2014_2017!D27</f>
        <v>159.02761150705265</v>
      </c>
      <c r="E7" s="977">
        <f>Resultats_2010_2014_2017!F27</f>
        <v>202</v>
      </c>
      <c r="F7" s="977">
        <f>Resultats_2010_2014_2017!H27</f>
        <v>230.35702631999999</v>
      </c>
    </row>
    <row r="8" spans="3:6" x14ac:dyDescent="0.2">
      <c r="C8" s="958" t="s">
        <v>21</v>
      </c>
      <c r="D8" s="980">
        <f>Resultats_2010_2014_2017!D17</f>
        <v>158.68820189999997</v>
      </c>
      <c r="E8" s="980">
        <f>Resultats_2010_2014_2017!F17</f>
        <v>176.25464009999996</v>
      </c>
      <c r="F8" s="980">
        <f>Resultats_2010_2014_2017!H17</f>
        <v>189.02700239999996</v>
      </c>
    </row>
    <row r="9" spans="3:6" ht="26.25" thickBot="1" x14ac:dyDescent="0.25">
      <c r="C9" s="986" t="s">
        <v>231</v>
      </c>
      <c r="D9" s="978">
        <f>Resultats_2010_2014_2017!D29</f>
        <v>0</v>
      </c>
      <c r="E9" s="978">
        <f>Resultats_2010_2014_2017!F29</f>
        <v>0</v>
      </c>
      <c r="F9" s="978">
        <f>Resultats_2010_2014_2017!H29</f>
        <v>185.08394358000001</v>
      </c>
    </row>
    <row r="10" spans="3:6" ht="13.5" thickBot="1" x14ac:dyDescent="0.25">
      <c r="C10" s="971" t="s">
        <v>46</v>
      </c>
      <c r="D10" s="977">
        <f>Resultats_2010_2014_2017!D21</f>
        <v>171.7156808</v>
      </c>
      <c r="E10" s="977">
        <f>Resultats_2010_2014_2017!F21</f>
        <v>118.9673116</v>
      </c>
      <c r="F10" s="977">
        <f>Resultats_2010_2014_2017!H21</f>
        <v>154.655756</v>
      </c>
    </row>
    <row r="11" spans="3:6" ht="26.25" thickBot="1" x14ac:dyDescent="0.25">
      <c r="C11" s="971" t="s">
        <v>47</v>
      </c>
      <c r="D11" s="985">
        <f>Resultats_2010_2014_2017!D21</f>
        <v>171.7156808</v>
      </c>
      <c r="E11" s="985">
        <f>Resultats_2010_2014_2017!F21</f>
        <v>118.9673116</v>
      </c>
      <c r="F11" s="985">
        <f>Resultats_2010_2014_2017!H21</f>
        <v>154.655756</v>
      </c>
    </row>
    <row r="12" spans="3:6" x14ac:dyDescent="0.2">
      <c r="C12" s="973" t="s">
        <v>19</v>
      </c>
      <c r="D12" s="980">
        <f>Resultats_2010_2014_2017!D13</f>
        <v>126.88472279999998</v>
      </c>
      <c r="E12" s="980">
        <f>Resultats_2010_2014_2017!F13</f>
        <v>116.49881999999998</v>
      </c>
      <c r="F12" s="980">
        <f>Resultats_2010_2014_2017!H13</f>
        <v>91.972796899999963</v>
      </c>
    </row>
    <row r="13" spans="3:6" ht="25.5" x14ac:dyDescent="0.2">
      <c r="C13" s="972" t="s">
        <v>234</v>
      </c>
      <c r="D13" s="981">
        <f>Resultats_2010_2014_2017!D9</f>
        <v>63.363238750000001</v>
      </c>
      <c r="E13" s="981">
        <f>Resultats_2010_2014_2017!F9</f>
        <v>56.780286250000003</v>
      </c>
      <c r="F13" s="981">
        <f>Resultats_2010_2014_2017!H9</f>
        <v>57.315415000000002</v>
      </c>
    </row>
    <row r="14" spans="3:6" ht="25.5" x14ac:dyDescent="0.2">
      <c r="C14" s="973" t="s">
        <v>228</v>
      </c>
      <c r="D14" s="983">
        <f>Resultats_2010_2014_2017!D14+Resultats_2010_2014_2017!D15</f>
        <v>53.319176849999998</v>
      </c>
      <c r="E14" s="983">
        <f>Resultats_2010_2014_2017!F14+Resultats_2010_2014_2017!F15</f>
        <v>37.398398399999998</v>
      </c>
      <c r="F14" s="983">
        <f>Resultats_2010_2014_2017!H14+Resultats_2010_2014_2017!H15</f>
        <v>43.395043299999998</v>
      </c>
    </row>
    <row r="15" spans="3:6" x14ac:dyDescent="0.2">
      <c r="C15" s="972" t="s">
        <v>34</v>
      </c>
      <c r="D15" s="982">
        <f>Resultats_2010_2014_2017!D7</f>
        <v>50.330519999999993</v>
      </c>
      <c r="E15" s="982">
        <f>Resultats_2010_2014_2017!F7</f>
        <v>39.924561999999995</v>
      </c>
      <c r="F15" s="982">
        <f>Resultats_2010_2014_2017!H7</f>
        <v>32.022956499999992</v>
      </c>
    </row>
    <row r="16" spans="3:6" ht="13.5" thickBot="1" x14ac:dyDescent="0.25">
      <c r="C16" s="989" t="s">
        <v>132</v>
      </c>
      <c r="D16" s="980">
        <f>Resultats_2010_2014_2017!D18</f>
        <v>0</v>
      </c>
      <c r="E16" s="980">
        <f>Resultats_2010_2014_2017!F18</f>
        <v>0</v>
      </c>
      <c r="F16" s="980">
        <f>Resultats_2010_2014_2017!H18</f>
        <v>22.677996999999994</v>
      </c>
    </row>
    <row r="17" spans="3:6" ht="45.75" customHeight="1" thickBot="1" x14ac:dyDescent="0.25">
      <c r="C17" s="988" t="s">
        <v>232</v>
      </c>
      <c r="D17" s="984">
        <f>Resultats_2010_2014_2017!D19</f>
        <v>0</v>
      </c>
      <c r="E17" s="984">
        <f>Resultats_2010_2014_2017!F19</f>
        <v>0</v>
      </c>
      <c r="F17" s="984">
        <f>Resultats_2010_2014_2017!H19</f>
        <v>22.370961000000001</v>
      </c>
    </row>
    <row r="18" spans="3:6" ht="36" customHeight="1" thickBot="1" x14ac:dyDescent="0.25">
      <c r="C18" s="987" t="s">
        <v>45</v>
      </c>
      <c r="D18" s="976" t="e">
        <f>Resultats_2010_2014_2017!D24</f>
        <v>#VALUE!</v>
      </c>
      <c r="E18" s="976">
        <f>Resultats_2010_2014_2017!F24</f>
        <v>2.2080564999999996</v>
      </c>
      <c r="F18" s="976">
        <f>Resultats_2010_2014_2017!H24</f>
        <v>3.1842915000000001</v>
      </c>
    </row>
    <row r="19" spans="3:6" ht="25.5" x14ac:dyDescent="0.2">
      <c r="C19" s="972" t="s">
        <v>233</v>
      </c>
      <c r="D19" s="981">
        <f>Resultats_2010_2014_2017!D10</f>
        <v>55.235050000000001</v>
      </c>
      <c r="E19" s="981">
        <f>Resultats_2010_2014_2017!F10</f>
        <v>54.514450000000004</v>
      </c>
      <c r="F19" s="981">
        <f>Resultats_2010_2014_2017!H10</f>
        <v>11.15705</v>
      </c>
    </row>
    <row r="20" spans="3:6" x14ac:dyDescent="0.2">
      <c r="C20" s="974" t="s">
        <v>39</v>
      </c>
      <c r="D20" s="977">
        <f>Resultats_2010_2014_2017!D26</f>
        <v>4.2956443125000003</v>
      </c>
      <c r="E20" s="977">
        <f>Resultats_2010_2014_2017!F26</f>
        <v>2</v>
      </c>
      <c r="F20" s="977">
        <f>Resultats_2010_2014_2017!H26</f>
        <v>1.5071611644</v>
      </c>
    </row>
  </sheetData>
  <sortState ref="C2:F20">
    <sortCondition descending="1" ref="F2:F20"/>
  </sortState>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2</vt:i4>
      </vt:variant>
    </vt:vector>
  </HeadingPairs>
  <TitlesOfParts>
    <vt:vector size="9" baseType="lpstr">
      <vt:lpstr>Données de consommation</vt:lpstr>
      <vt:lpstr>Emissions 2010_2014_2017</vt:lpstr>
      <vt:lpstr>Resultats_2010_2014_2017</vt:lpstr>
      <vt:lpstr>données climats</vt:lpstr>
      <vt:lpstr>données énergie</vt:lpstr>
      <vt:lpstr>Emissions evitées</vt:lpstr>
      <vt:lpstr>Top19</vt:lpstr>
      <vt:lpstr>'Données de consommation'!Zone_d_impression</vt:lpstr>
      <vt:lpstr>'Emissions 2010_2014_2017'!Zone_d_impression</vt:lpstr>
    </vt:vector>
  </TitlesOfParts>
  <Company>Agence de l'Environnement et de la Maîtrise de 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ADEME-Laurence Gouthière</dc:creator>
  <cp:lastModifiedBy>GONDRAN Natacha</cp:lastModifiedBy>
  <cp:lastPrinted>2018-06-18T12:27:31Z</cp:lastPrinted>
  <dcterms:created xsi:type="dcterms:W3CDTF">2011-03-30T15:29:19Z</dcterms:created>
  <dcterms:modified xsi:type="dcterms:W3CDTF">2019-07-25T14:51:32Z</dcterms:modified>
</cp:coreProperties>
</file>